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emf" ContentType="image/x-em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5.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405"/>
  <workbookPr showInkAnnotation="0" codeName="ThisWorkbook" checkCompatibility="1" autoCompressPictures="0"/>
  <bookViews>
    <workbookView xWindow="0" yWindow="0" windowWidth="18040" windowHeight="20560" tabRatio="987"/>
  </bookViews>
  <sheets>
    <sheet name="AGREEMENT" sheetId="6" r:id="rId1"/>
    <sheet name="FLOOR A" sheetId="10" r:id="rId2"/>
    <sheet name="FLOOR B" sheetId="55" r:id="rId3"/>
    <sheet name="CC AUTH" sheetId="2" r:id="rId4"/>
    <sheet name="COVER 1" sheetId="4" r:id="rId5"/>
    <sheet name="FACT 1" sheetId="1" r:id="rId6"/>
    <sheet name="CAP 1" sheetId="13" r:id="rId7"/>
  </sheets>
  <definedNames>
    <definedName name="OLE_LINK122" localSheetId="0">AGREEMENT!$B$106</definedName>
    <definedName name="OLE_LINK13" localSheetId="0">AGREEMENT!#REF!</definedName>
    <definedName name="OLE_LINK130" localSheetId="0">AGREEMENT!#REF!</definedName>
    <definedName name="OLE_LINK15" localSheetId="0">AGREEMENT!#REF!</definedName>
    <definedName name="OLE_LINK212" localSheetId="3">'CC AUTH'!$F$29</definedName>
    <definedName name="OLE_LINK212" localSheetId="1">'FLOOR A'!#REF!</definedName>
    <definedName name="OLE_LINK212" localSheetId="2">'FLOOR B'!#REF!</definedName>
    <definedName name="OLE_LINK214" localSheetId="3">'CC AUTH'!$G$33</definedName>
    <definedName name="OLE_LINK214" localSheetId="1">'FLOOR A'!#REF!</definedName>
    <definedName name="OLE_LINK214" localSheetId="2">'FLOOR B'!#REF!</definedName>
    <definedName name="OLE_LINK25" localSheetId="0">AGREEMENT!$B$83</definedName>
    <definedName name="OLE_LINK284" localSheetId="3">'CC AUTH'!$F$114</definedName>
    <definedName name="OLE_LINK284" localSheetId="1">'FLOOR A'!#REF!</definedName>
    <definedName name="OLE_LINK284" localSheetId="2">'FLOOR B'!#REF!</definedName>
    <definedName name="OLE_LINK289" localSheetId="3">'CC AUTH'!$F$115</definedName>
    <definedName name="OLE_LINK289" localSheetId="1">'FLOOR A'!#REF!</definedName>
    <definedName name="OLE_LINK289" localSheetId="2">'FLOOR B'!#REF!</definedName>
    <definedName name="OLE_LINK295" localSheetId="3">'CC AUTH'!$S$114</definedName>
    <definedName name="OLE_LINK295" localSheetId="1">'FLOOR A'!#REF!</definedName>
    <definedName name="OLE_LINK295" localSheetId="2">'FLOOR B'!#REF!</definedName>
    <definedName name="OLE_LINK3" localSheetId="0">AGREEMENT!#REF!</definedName>
    <definedName name="OLE_LINK326" localSheetId="0">AGREEMENT!#REF!</definedName>
    <definedName name="OLE_LINK42" localSheetId="3">'CC AUTH'!$S$116</definedName>
    <definedName name="OLE_LINK42" localSheetId="1">'FLOOR A'!#REF!</definedName>
    <definedName name="OLE_LINK42" localSheetId="2">'FLOOR B'!#REF!</definedName>
    <definedName name="OLE_LINK555" localSheetId="3">'CC AUTH'!$F$28</definedName>
    <definedName name="OLE_LINK555" localSheetId="1">'FLOOR A'!#REF!</definedName>
    <definedName name="OLE_LINK555" localSheetId="2">'FLOOR B'!#REF!</definedName>
    <definedName name="OLE_LINK58" localSheetId="0">AGREEMENT!#REF!</definedName>
    <definedName name="OLE_LINK64" localSheetId="0">AGREEMENT!#REF!</definedName>
    <definedName name="OLE_LINK79" localSheetId="0">AGREEMENT!#REF!</definedName>
    <definedName name="OLE_LINK82" localSheetId="0">AGREEMENT!#REF!</definedName>
    <definedName name="OLE_LINK84" localSheetId="0">AGREEMENT!$B$79</definedName>
    <definedName name="OLE_LINK91" localSheetId="0">AGREEMENT!$B$61</definedName>
    <definedName name="_xlnm.Print_Area" localSheetId="1">'FLOOR A'!$A$1:$Z$43</definedName>
    <definedName name="_xlnm.Print_Area" localSheetId="2">'FLOOR B'!$A$1:$Z$43</definedName>
    <definedName name="Ro">"TextBox 12"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V22" i="1" l="1"/>
  <c r="R22" i="1"/>
  <c r="V5" i="6"/>
  <c r="V4" i="6"/>
  <c r="Y22" i="6"/>
  <c r="F19" i="1"/>
  <c r="J19" i="1"/>
  <c r="V3" i="6"/>
  <c r="I7" i="6"/>
  <c r="B7" i="6"/>
  <c r="S2" i="6"/>
  <c r="V2" i="6"/>
  <c r="S7" i="2"/>
  <c r="J22" i="6"/>
  <c r="V19" i="1"/>
  <c r="B41" i="55"/>
  <c r="B38" i="55"/>
  <c r="B35" i="55"/>
  <c r="B32" i="55"/>
  <c r="B29" i="55"/>
  <c r="B26" i="55"/>
  <c r="B23" i="55"/>
  <c r="B20" i="55"/>
  <c r="B18" i="55"/>
  <c r="B15" i="55"/>
  <c r="B19" i="1"/>
  <c r="B14" i="55"/>
  <c r="B13" i="55"/>
  <c r="B12" i="55"/>
  <c r="B102" i="1"/>
  <c r="F102" i="1"/>
  <c r="AC102" i="1"/>
  <c r="Z126" i="6"/>
  <c r="B10" i="55"/>
  <c r="J7" i="55"/>
  <c r="D10" i="1"/>
  <c r="R10" i="1"/>
  <c r="G2" i="55"/>
  <c r="F29" i="6"/>
  <c r="V22" i="6"/>
  <c r="S22" i="6"/>
  <c r="P22" i="6"/>
  <c r="K43" i="1"/>
  <c r="J22" i="1"/>
  <c r="Z19" i="1"/>
  <c r="T104" i="1"/>
  <c r="U104" i="1"/>
  <c r="U105" i="1"/>
  <c r="B6" i="4"/>
  <c r="B9" i="4"/>
  <c r="B10" i="10"/>
  <c r="B20" i="10"/>
  <c r="B18" i="10"/>
  <c r="B7" i="4"/>
  <c r="X2" i="13"/>
  <c r="X2" i="1"/>
  <c r="X3" i="1"/>
  <c r="D15" i="1"/>
  <c r="F22" i="1"/>
  <c r="B11" i="4"/>
  <c r="A21" i="4"/>
  <c r="B8" i="4"/>
  <c r="U19" i="4"/>
  <c r="F23" i="13"/>
  <c r="Z53" i="1"/>
  <c r="V53" i="1"/>
  <c r="R53" i="1"/>
  <c r="N53" i="1"/>
  <c r="J53" i="1"/>
  <c r="F53" i="1"/>
  <c r="B53" i="1"/>
  <c r="R68" i="1"/>
  <c r="R86" i="1"/>
  <c r="Z68" i="1"/>
  <c r="V68" i="1"/>
  <c r="N68" i="1"/>
  <c r="J68" i="1"/>
  <c r="F68" i="1"/>
  <c r="B68" i="1"/>
  <c r="Z86" i="1"/>
  <c r="V86" i="1"/>
  <c r="U84" i="1"/>
  <c r="N86" i="1"/>
  <c r="Z11" i="13"/>
  <c r="F11" i="13"/>
  <c r="Q3" i="2"/>
  <c r="N28" i="6"/>
  <c r="B29" i="2"/>
  <c r="B73" i="2"/>
  <c r="B76" i="2"/>
  <c r="D10" i="2"/>
  <c r="B85" i="2"/>
  <c r="B79" i="2"/>
  <c r="B82" i="2"/>
  <c r="B39" i="2"/>
  <c r="B169" i="6"/>
  <c r="B167" i="6"/>
  <c r="C39" i="6"/>
  <c r="B43" i="1"/>
  <c r="AB97" i="1"/>
  <c r="P94" i="6"/>
  <c r="P68" i="6"/>
  <c r="P47" i="6"/>
  <c r="B9" i="6"/>
  <c r="P43" i="1"/>
  <c r="U43" i="1"/>
  <c r="U42" i="1"/>
  <c r="J39" i="1"/>
  <c r="Q3" i="1"/>
  <c r="Q2" i="2"/>
  <c r="T2" i="4"/>
  <c r="R3" i="13"/>
  <c r="R2" i="13"/>
  <c r="Q2" i="1"/>
  <c r="O2" i="6"/>
  <c r="J104" i="1"/>
  <c r="B10" i="4"/>
  <c r="U17" i="4"/>
  <c r="U16" i="4"/>
  <c r="R19" i="1"/>
  <c r="M16" i="4"/>
  <c r="M17" i="4"/>
  <c r="E17" i="4"/>
  <c r="E16" i="4"/>
  <c r="Q14" i="4"/>
  <c r="Q13" i="4"/>
  <c r="E14" i="4"/>
  <c r="E13" i="4"/>
  <c r="M19" i="4"/>
  <c r="E19" i="4"/>
  <c r="V21" i="4"/>
  <c r="B5" i="4"/>
  <c r="B4" i="4"/>
  <c r="V3" i="2"/>
  <c r="V4" i="2"/>
  <c r="V2" i="2"/>
  <c r="T2" i="2"/>
  <c r="Q4" i="2"/>
  <c r="F7" i="2"/>
  <c r="B38" i="10"/>
  <c r="B35" i="10"/>
  <c r="B32" i="10"/>
  <c r="B41" i="10"/>
  <c r="B29" i="10"/>
  <c r="G2" i="10"/>
  <c r="B15" i="10"/>
  <c r="B14" i="10"/>
  <c r="B13" i="10"/>
  <c r="B12" i="10"/>
  <c r="B26" i="10"/>
  <c r="B151" i="6"/>
  <c r="B153" i="6"/>
  <c r="R18" i="13"/>
  <c r="S144" i="6"/>
  <c r="C35" i="6"/>
  <c r="U66" i="1"/>
  <c r="U51" i="1"/>
  <c r="U7" i="1"/>
  <c r="B7" i="1"/>
  <c r="N22" i="1"/>
  <c r="Z22" i="1"/>
  <c r="F43" i="1"/>
  <c r="Z21" i="13"/>
  <c r="V21" i="13"/>
  <c r="R21" i="13"/>
  <c r="N21" i="13"/>
  <c r="J21" i="13"/>
  <c r="F21" i="13"/>
  <c r="B21" i="13"/>
  <c r="J18" i="13"/>
  <c r="Z18" i="13"/>
  <c r="V18" i="13"/>
  <c r="N18" i="13"/>
  <c r="R4" i="13"/>
  <c r="F18" i="13"/>
  <c r="B18" i="13"/>
  <c r="B11" i="13"/>
  <c r="R11" i="13"/>
  <c r="N11" i="13"/>
  <c r="J11" i="13"/>
  <c r="V11" i="13"/>
  <c r="M22" i="6"/>
  <c r="J86" i="1"/>
  <c r="F86" i="1"/>
  <c r="B86" i="1"/>
  <c r="F84" i="1"/>
  <c r="Q4" i="1"/>
  <c r="B22" i="1"/>
  <c r="N19" i="1"/>
  <c r="B39" i="1"/>
  <c r="F39" i="1"/>
  <c r="O3" i="6"/>
  <c r="Y124" i="6"/>
  <c r="B29" i="6"/>
  <c r="B23" i="10"/>
  <c r="J7" i="10"/>
  <c r="B149" i="6"/>
  <c r="C33" i="6"/>
  <c r="B155" i="6"/>
  <c r="B154" i="6"/>
  <c r="Q5" i="1"/>
  <c r="B14" i="13"/>
  <c r="R5" i="13"/>
  <c r="X5" i="13"/>
  <c r="X5" i="1"/>
  <c r="X4" i="13"/>
  <c r="X4" i="1"/>
  <c r="X3" i="13"/>
  <c r="G7" i="13"/>
  <c r="U7" i="13"/>
  <c r="A1" i="13"/>
  <c r="O5" i="6"/>
  <c r="O4" i="6"/>
  <c r="C34" i="6"/>
  <c r="C37" i="6"/>
  <c r="C36" i="6"/>
  <c r="H7" i="1"/>
  <c r="F66" i="1"/>
  <c r="F51" i="1"/>
  <c r="B145" i="6"/>
  <c r="E145" i="6"/>
  <c r="AA145" i="6"/>
  <c r="F2" i="4"/>
  <c r="R12" i="1"/>
  <c r="R11" i="1"/>
  <c r="D14" i="1"/>
  <c r="D12" i="1"/>
  <c r="D11" i="1"/>
  <c r="B36" i="2"/>
  <c r="B55" i="2"/>
  <c r="B52" i="2"/>
  <c r="B46" i="2"/>
  <c r="B61" i="2"/>
  <c r="B58" i="2"/>
  <c r="B49" i="2"/>
  <c r="B42" i="2"/>
  <c r="A1" i="1"/>
  <c r="B67" i="2"/>
  <c r="B70" i="2"/>
  <c r="D11" i="2"/>
  <c r="AA28" i="2"/>
  <c r="V5" i="2"/>
  <c r="Q14" i="2"/>
  <c r="Q12" i="2"/>
  <c r="Q13" i="2"/>
  <c r="Q10" i="2"/>
  <c r="Q11" i="2"/>
  <c r="D14" i="2"/>
  <c r="D13" i="2"/>
  <c r="D12" i="2"/>
  <c r="R15" i="1"/>
  <c r="R14" i="1"/>
  <c r="R13" i="1"/>
  <c r="D13" i="1"/>
  <c r="Z140" i="6"/>
  <c r="AA98" i="1"/>
  <c r="Q5" i="2"/>
</calcChain>
</file>

<file path=xl/sharedStrings.xml><?xml version="1.0" encoding="utf-8"?>
<sst xmlns="http://schemas.openxmlformats.org/spreadsheetml/2006/main" count="606" uniqueCount="382">
  <si>
    <t>1139 Glendon Avenue</t>
  </si>
  <si>
    <t>address:</t>
  </si>
  <si>
    <t>date</t>
  </si>
  <si>
    <t>#</t>
  </si>
  <si>
    <t>events@skylightgardens.com</t>
  </si>
  <si>
    <t>secondary:</t>
  </si>
  <si>
    <t>primary:</t>
  </si>
  <si>
    <t>phone: 310.824.1818 / fax: 310.492.0488</t>
  </si>
  <si>
    <t>Los Angeles, California 90024</t>
  </si>
  <si>
    <t>time</t>
  </si>
  <si>
    <t>Timeline</t>
  </si>
  <si>
    <t>style</t>
  </si>
  <si>
    <t>quantity</t>
  </si>
  <si>
    <t>rate</t>
  </si>
  <si>
    <t>total</t>
  </si>
  <si>
    <t>beverage menu</t>
  </si>
  <si>
    <t>other:</t>
  </si>
  <si>
    <t>Overview</t>
  </si>
  <si>
    <t>processed</t>
  </si>
  <si>
    <t>captains fee</t>
  </si>
  <si>
    <t>notes/details</t>
  </si>
  <si>
    <t>table #</t>
  </si>
  <si>
    <t>Event Menus</t>
  </si>
  <si>
    <t>D</t>
  </si>
  <si>
    <t>yy</t>
  </si>
  <si>
    <t>mm</t>
  </si>
  <si>
    <t>dd</t>
  </si>
  <si>
    <t>shift</t>
  </si>
  <si>
    <t>room/space</t>
  </si>
  <si>
    <t>payment terms</t>
  </si>
  <si>
    <t>EXAMPLES</t>
  </si>
  <si>
    <t>Notes</t>
  </si>
  <si>
    <t>Protocol:</t>
  </si>
  <si>
    <t>Event ID: Naming Protocol</t>
  </si>
  <si>
    <t>buffet</t>
  </si>
  <si>
    <t>Sample:</t>
  </si>
  <si>
    <t>studio</t>
  </si>
  <si>
    <t>city/state:</t>
  </si>
  <si>
    <t>-</t>
  </si>
  <si>
    <t>AT</t>
  </si>
  <si>
    <t>BL</t>
  </si>
  <si>
    <t>BO</t>
  </si>
  <si>
    <t>MX</t>
  </si>
  <si>
    <t>BA</t>
  </si>
  <si>
    <t>RT</t>
  </si>
  <si>
    <t>SB</t>
  </si>
  <si>
    <t>ST</t>
  </si>
  <si>
    <t>WB</t>
  </si>
  <si>
    <t>atrium</t>
  </si>
  <si>
    <t>balcony</t>
  </si>
  <si>
    <t>bar area</t>
  </si>
  <si>
    <t>buy out</t>
  </si>
  <si>
    <t>mixed</t>
  </si>
  <si>
    <t>rotunda</t>
  </si>
  <si>
    <t>stone bar</t>
  </si>
  <si>
    <t>wine bar</t>
  </si>
  <si>
    <t>Event:</t>
  </si>
  <si>
    <t>plated</t>
  </si>
  <si>
    <t>passed</t>
  </si>
  <si>
    <t xml:space="preserve"> Deposit: </t>
  </si>
  <si>
    <t xml:space="preserve"> Payment: </t>
  </si>
  <si>
    <t>notes:</t>
  </si>
  <si>
    <t>food service</t>
  </si>
  <si>
    <t>bar service</t>
  </si>
  <si>
    <t>passed/buffet</t>
  </si>
  <si>
    <t>passed/plated</t>
  </si>
  <si>
    <t>Food</t>
  </si>
  <si>
    <t>Bar</t>
  </si>
  <si>
    <t>Type</t>
  </si>
  <si>
    <t>informal</t>
  </si>
  <si>
    <t>formal</t>
  </si>
  <si>
    <t>open bar</t>
  </si>
  <si>
    <t>cash bar</t>
  </si>
  <si>
    <t>hosted bar</t>
  </si>
  <si>
    <t>black tie</t>
  </si>
  <si>
    <t>business</t>
  </si>
  <si>
    <t>cocktail</t>
  </si>
  <si>
    <t>festive</t>
  </si>
  <si>
    <t>casual</t>
  </si>
  <si>
    <t>semi-formal</t>
  </si>
  <si>
    <t>Misc. Requests &amp; Features</t>
  </si>
  <si>
    <t>description:</t>
  </si>
  <si>
    <t>requestor:</t>
  </si>
  <si>
    <t>company:</t>
  </si>
  <si>
    <t>email:</t>
  </si>
  <si>
    <t>organization:</t>
  </si>
  <si>
    <t>phone/fax:</t>
  </si>
  <si>
    <t>Cardholder Authorization</t>
  </si>
  <si>
    <t>obscure</t>
  </si>
  <si>
    <t></t>
  </si>
  <si>
    <t>alt. contact:</t>
  </si>
  <si>
    <t>alt email:</t>
  </si>
  <si>
    <t>save</t>
  </si>
  <si>
    <t xml:space="preserve">CC# </t>
  </si>
  <si>
    <t xml:space="preserve">EXP: </t>
  </si>
  <si>
    <t xml:space="preserve">CVV# </t>
  </si>
  <si>
    <t>event space</t>
  </si>
  <si>
    <t>Type:</t>
  </si>
  <si>
    <t>undecided</t>
  </si>
  <si>
    <t>KITCHEN</t>
  </si>
  <si>
    <t>prix fixe menu</t>
  </si>
  <si>
    <t>HOST</t>
  </si>
  <si>
    <t>dinner - D</t>
  </si>
  <si>
    <t>credit card - CC</t>
  </si>
  <si>
    <t xml:space="preserve">F&amp;B Min: </t>
  </si>
  <si>
    <t>ucla p.o. or receivable - AR</t>
  </si>
  <si>
    <t>reception menu</t>
  </si>
  <si>
    <t xml:space="preserve">
</t>
  </si>
  <si>
    <t>CC Authorization</t>
  </si>
  <si>
    <t>F&amp;B Min:</t>
  </si>
  <si>
    <t>to</t>
  </si>
  <si>
    <t xml:space="preserve">Food Service </t>
  </si>
  <si>
    <t>Bar Service</t>
  </si>
  <si>
    <t>Event ID#</t>
  </si>
  <si>
    <t>brunch or lunch - L</t>
  </si>
  <si>
    <t>S</t>
  </si>
  <si>
    <t>T</t>
  </si>
  <si>
    <t>A</t>
  </si>
  <si>
    <t>R</t>
  </si>
  <si>
    <t>event type</t>
  </si>
  <si>
    <t>M</t>
  </si>
  <si>
    <t>X</t>
  </si>
  <si>
    <t>C</t>
  </si>
  <si>
    <t>Lunch - L</t>
  </si>
  <si>
    <t>At Event - CC</t>
  </si>
  <si>
    <t>private</t>
  </si>
  <si>
    <t>Dinner - D</t>
  </si>
  <si>
    <t>Receivable - AR</t>
  </si>
  <si>
    <t>semi-private</t>
  </si>
  <si>
    <t>Where:</t>
  </si>
  <si>
    <t>DATE</t>
  </si>
  <si>
    <t>Deposit</t>
  </si>
  <si>
    <t>cash</t>
  </si>
  <si>
    <t>check</t>
  </si>
  <si>
    <t>credit card</t>
  </si>
  <si>
    <t>purchase order</t>
  </si>
  <si>
    <t>wire</t>
  </si>
  <si>
    <t>SPECIAL PROVISIONS:</t>
  </si>
  <si>
    <t xml:space="preserve"> Date </t>
  </si>
  <si>
    <t>Event Host Signature</t>
  </si>
  <si>
    <t>Vendor (Restaurant) Signature</t>
  </si>
  <si>
    <t>Event ID:</t>
  </si>
  <si>
    <t>Deposit:</t>
  </si>
  <si>
    <t>Payment:</t>
  </si>
  <si>
    <t>Menus:</t>
  </si>
  <si>
    <t>STANDARD TERMS &amp; CONDITIONS - 1 of 3</t>
  </si>
  <si>
    <t>STANDARD TERMS &amp; CONDITIONS - 2 of 3</t>
  </si>
  <si>
    <t>STANDARD TERMS &amp; CONDITIONS - 3 of 3</t>
  </si>
  <si>
    <t xml:space="preserve"> Payment:</t>
  </si>
  <si>
    <t>none</t>
  </si>
  <si>
    <t>cc auth type</t>
  </si>
  <si>
    <t>event</t>
  </si>
  <si>
    <t>misc</t>
  </si>
  <si>
    <t>Event w/ CC Deposit</t>
  </si>
  <si>
    <t>Blank CC Auth w/ Amount</t>
  </si>
  <si>
    <t>*full name:</t>
  </si>
  <si>
    <t>Host:</t>
  </si>
  <si>
    <t>COVER PAGE</t>
  </si>
  <si>
    <t>EVENT WITH CC DEPOSIT AND CARDHOLDER AUTH</t>
  </si>
  <si>
    <t>EVENT WITH MISC DEPOSIT AND CARDHOLDER AUTH</t>
  </si>
  <si>
    <t>****MISC CC CARDHOLDER AUTH W/O AMOUNT****</t>
  </si>
  <si>
    <t>****MISC CC CARDHOLDER AUTH W/ AMOUNT****</t>
  </si>
  <si>
    <t>AUTO-NAME &amp; BLANK</t>
  </si>
  <si>
    <t>BLANK &amp; BLANK</t>
  </si>
  <si>
    <t>Misc CC Auth</t>
  </si>
  <si>
    <t>Event w/ Other Deposit</t>
  </si>
  <si>
    <t>*host/org:</t>
  </si>
  <si>
    <t>`</t>
  </si>
  <si>
    <t>% Captain</t>
  </si>
  <si>
    <t>% Service</t>
  </si>
  <si>
    <t>CAPTAIN</t>
  </si>
  <si>
    <t>beverage
stations:</t>
  </si>
  <si>
    <t>food
stations:</t>
  </si>
  <si>
    <t>Employee Name</t>
  </si>
  <si>
    <t>flowers &amp;
decorations:</t>
  </si>
  <si>
    <t>reception &amp; 
security:</t>
  </si>
  <si>
    <t>audio visual:</t>
  </si>
  <si>
    <t>event staffing:</t>
  </si>
  <si>
    <t>parking:</t>
  </si>
  <si>
    <t>linens &amp;
dinnerware:</t>
  </si>
  <si>
    <t>shipping &amp;
storage:</t>
  </si>
  <si>
    <t>seating &amp;
tables:</t>
  </si>
  <si>
    <t>menus:</t>
  </si>
  <si>
    <t>miscellaneous
special features:</t>
  </si>
  <si>
    <t>special accommodations:</t>
  </si>
  <si>
    <t>Setup Details</t>
  </si>
  <si>
    <t>Room:</t>
  </si>
  <si>
    <t>Food:</t>
  </si>
  <si>
    <t>Bar:</t>
  </si>
  <si>
    <t>Style:</t>
  </si>
  <si>
    <t>Phone:</t>
  </si>
  <si>
    <t>Email:</t>
  </si>
  <si>
    <t>payment:</t>
  </si>
  <si>
    <t>contact:</t>
  </si>
  <si>
    <t>overview:</t>
  </si>
  <si>
    <t>details:</t>
  </si>
  <si>
    <t>included
above</t>
  </si>
  <si>
    <t>guest valet</t>
  </si>
  <si>
    <t>parking service</t>
  </si>
  <si>
    <t>self-parking</t>
  </si>
  <si>
    <t>deposit type</t>
  </si>
  <si>
    <t>deposit amount</t>
  </si>
  <si>
    <t>business check</t>
  </si>
  <si>
    <t>house account</t>
  </si>
  <si>
    <t>host valet</t>
  </si>
  <si>
    <t>event payment type</t>
  </si>
  <si>
    <t>Payment</t>
  </si>
  <si>
    <t>Details</t>
  </si>
  <si>
    <t>Event Host</t>
  </si>
  <si>
    <t>guest guarantee</t>
  </si>
  <si>
    <t>miscellaneous fees</t>
  </si>
  <si>
    <t>Host</t>
  </si>
  <si>
    <t>event series</t>
  </si>
  <si>
    <t>date 2</t>
  </si>
  <si>
    <t>date 3</t>
  </si>
  <si>
    <t>date 4</t>
  </si>
  <si>
    <t>date 5</t>
  </si>
  <si>
    <t>date 6</t>
  </si>
  <si>
    <t>date 7</t>
  </si>
  <si>
    <t>date 8</t>
  </si>
  <si>
    <t>date 9</t>
  </si>
  <si>
    <t>date 10</t>
  </si>
  <si>
    <t>date 11</t>
  </si>
  <si>
    <t>date 12</t>
  </si>
  <si>
    <t>phone:</t>
  </si>
  <si>
    <t>start time</t>
  </si>
  <si>
    <t>end time</t>
  </si>
  <si>
    <t>setup time</t>
  </si>
  <si>
    <t>food &amp; beverage min</t>
  </si>
  <si>
    <t>mixed areas</t>
  </si>
  <si>
    <t>Space:</t>
  </si>
  <si>
    <t>Time:</t>
  </si>
  <si>
    <t>Guest Guarantee</t>
  </si>
  <si>
    <t>event style</t>
  </si>
  <si>
    <t>date 13</t>
  </si>
  <si>
    <t>date 14</t>
  </si>
  <si>
    <t>Service Fee Allocations</t>
  </si>
  <si>
    <t xml:space="preserve"> 1139 Glendon Avenue</t>
  </si>
  <si>
    <t xml:space="preserve"> Los Angeles, California 90024</t>
  </si>
  <si>
    <t xml:space="preserve"> phone: 310.824.1818 / fax: 310.492.0488</t>
  </si>
  <si>
    <t xml:space="preserve"> events@skylightgardens.com</t>
  </si>
  <si>
    <t>1139 Glendon Avenue
Los Angeles, California 90024
phone: 310.824.1818 / fax: 310.492.0488
events@skylightgardens.com</t>
  </si>
  <si>
    <t>PARKING: Valet parking to be paid by Event Host at the following rates: $6 per vehicle for Events shorter than 2-hours and $8 per vehicle for Events longer than 2-hours (Hosted Valet fee = posted rate +$2 Service Fee - includes gratuity for valet attendant).</t>
  </si>
  <si>
    <t>DEPOSIT: A non-refundable Deposit, a Credit Card Authorization and this signed Agreement is required to confirm your Event reservation. Please make checks payable to “Skylight Gardens” and return with this Agreement. The balance, payable by cash, credit card or company check, is due on completion of the Event. Please see the attached Standard Terms &amp; Conditions for our “Deposit” and “Cancellations” policy.</t>
  </si>
  <si>
    <t xml:space="preserve">PLEASE NOTE: Menu items may change due to availability of products and seasonal changes; all attempts will be made to prepare your Menu as selected. Menu prices are guaranteed 60 days from the Event Agreement date. Skylight Gardens therefore reserves the right to make reasonable substitutions and adjustments contingent upon seasonal availability. </t>
  </si>
  <si>
    <t>140122DATAR
January 22th, 2014
Dinner - Atrium - Receivable</t>
  </si>
  <si>
    <t>PARKING: Event guests will be responsible for self-parking. Valet is available at the posted rates. Free self-parking, with validation, is available in the parking garage directly across the street from the restaurant main entrance at 1100 Glendon Ave.</t>
  </si>
  <si>
    <t>PARKING: Valet parking to be paid by Event Guests at the posted rate. Free validated self-parking is also available in the parking garage directly across the street from the main restaurant entrance at 1100 Glendon Ave, Los Angeles 90024.</t>
  </si>
  <si>
    <t xml:space="preserve">PARKING: Hosted-valet parking available for $6/per for less than 2-hours and $8/per for more than 2-hrs. Guest-valet parking is available at posted rates. Free validated self-parking is available in the parking garage across from the restaurant at 1100 Glendon Ave. </t>
  </si>
  <si>
    <r>
      <t xml:space="preserve">1. Confirmation: </t>
    </r>
    <r>
      <rPr>
        <sz val="8"/>
        <color theme="1"/>
        <rFont val="Calibri"/>
      </rPr>
      <t>To confirm your Event and reserve the designated Event Space, please sign and return this Event Agreement within three (3) business days of receipt. Once your completed: (1) Event Agreement with Standard Terms &amp; Conditions, (2) Credit Card Authorization, and (3) Event Deposit are received and processed, your Event coordinator will contact you with a Event reservation confirmation. Your Event is considered held, but not confirmed, until the Deposit payment is received/processed. Please ensure all Agreement pages are complete and returned within the time specified as accommodations for Event Agreements returned more than three (3) business days after receipt cannot be guaranteed.</t>
    </r>
  </si>
  <si>
    <r>
      <t xml:space="preserve">2. Deposit: </t>
    </r>
    <r>
      <rPr>
        <sz val="8"/>
        <color theme="1"/>
        <rFont val="Calibri"/>
      </rPr>
      <t>A non-refundable Event Deposit of 25% to 50% (depending on the Event Space, Time and Day) is required to hold your Event reservation. The estimated outstanding balance is due ten (10) days in advance of the Event if payment is made by approved check, forty-eight (48) hours if the payment is made by cashiers check or money order, and at the conclusion of your Event if payment is made by an approved credit card. All Deposits will be applied to the final Event bill, which is due by the conclusion of the Event. Skylight Gardens reserves the right to cancel all or part of this Agreement if Deposit(s) are not received by the date(s) and amount(s) indicated.</t>
    </r>
  </si>
  <si>
    <r>
      <t>3. Payment:</t>
    </r>
    <r>
      <rPr>
        <sz val="8"/>
        <color theme="1"/>
        <rFont val="Calibri"/>
      </rPr>
      <t xml:space="preserve"> A credit card, business check, cash, wire transfer, or cashier’s check may be used for payment. If you are using a company check or wire transfer for the Deposit or final payment, the check/wire transfer must be received at least ten (10) business days prior to your Event date and cleared at least three (3) days prior to your Event date. Approved business checks must be received at least five (5) business days prior to your Event and cleared prior to your Event date. A signed Credit Card Authorization (attached) is required for all Events. If you are using a credit card, a copy/scan/photo of the front and back of your credit card must accompany this signed agreement. Any outstanding fees incurred during the Event not included in the estimated costs must be paid and settled in full at the conclusion of your Event with either cash or credit card. No balances are to carry over past the day of the Event. All Event payments in excess of $10,000 will incur a 3% credit card transaction fee if not paid by a either an approved Business or Cashiers Check.</t>
    </r>
  </si>
  <si>
    <r>
      <t xml:space="preserve">5. Food &amp; Beverage Minimum: </t>
    </r>
    <r>
      <rPr>
        <sz val="8"/>
        <color theme="1"/>
        <rFont val="Calibri"/>
      </rPr>
      <t>In lieu of standard Room/Rental Fees, a Food &amp; Beverage Minimum ("F &amp; B Min") will be enforced for all Events. The F &amp; B Min is the minimum amount that must be spent at an Event on food and beverages, regardless of guest count or other Event services and fees, in order to reserve the designated Event Space. Events that fail to meet the specified F &amp; B Min, for any reason, will be charged a F &amp; B Min Fee for any outstanding balance. Events with extraordinary setup, service, time, or space requirements will incur a Room/Rental fee in addition to a Food &amp; Beverage Minimum.</t>
    </r>
  </si>
  <si>
    <r>
      <rPr>
        <b/>
        <sz val="8"/>
        <color theme="1"/>
        <rFont val="Calibri"/>
      </rPr>
      <t xml:space="preserve">6. Guest Guarantee: </t>
    </r>
    <r>
      <rPr>
        <sz val="8"/>
        <color theme="1"/>
        <rFont val="Calibri"/>
      </rPr>
      <t xml:space="preserve">The Guest Guarantee is the basis on which food and beverage selections will be stocked/prepared and Event staff scheduled. Host agrees to initially furnish Skylight Gardens with an approximate Guest Guarantee </t>
    </r>
    <r>
      <rPr>
        <i/>
        <sz val="8"/>
        <color theme="1"/>
        <rFont val="Calibri"/>
      </rPr>
      <t xml:space="preserve">(approximate minimum guest count) </t>
    </r>
    <r>
      <rPr>
        <sz val="8"/>
        <color theme="1"/>
        <rFont val="Calibri"/>
      </rPr>
      <t xml:space="preserve">upon signing this Agreement. The Guest Guarantee is considered approximate and non-binding until three (3) business days prior to the Event date. A final Guest Guarantee </t>
    </r>
    <r>
      <rPr>
        <i/>
        <sz val="8"/>
        <color theme="1"/>
        <rFont val="Calibri"/>
      </rPr>
      <t xml:space="preserve">(final minimum guest count) </t>
    </r>
    <r>
      <rPr>
        <sz val="8"/>
        <color theme="1"/>
        <rFont val="Calibri"/>
      </rPr>
      <t xml:space="preserve">is due in writing no less than three (3) business days prior to your Event. </t>
    </r>
    <r>
      <rPr>
        <u/>
        <sz val="8"/>
        <color theme="1"/>
        <rFont val="Calibri"/>
      </rPr>
      <t>If a final Guest Guarantee is not provided at least three (3) business days prior to your Event, the approximate Guest Guarantee initially contemplated in this Agreement will automatically convert into the final Guest Guarantee.</t>
    </r>
    <r>
      <rPr>
        <sz val="8"/>
        <color theme="1"/>
        <rFont val="Calibri"/>
      </rPr>
      <t xml:space="preserve"> The number of guests set out in the final Guest Guarantee will form the basis on which the final Event bill is computed. The Event Host - person and/or organization responsible for payment - shall be responsible for the final Guest Guarantee as set forth in this Agreement</t>
    </r>
    <r>
      <rPr>
        <i/>
        <sz val="8"/>
        <color theme="1"/>
        <rFont val="Calibri"/>
      </rPr>
      <t>,</t>
    </r>
    <r>
      <rPr>
        <sz val="8"/>
        <color theme="1"/>
        <rFont val="Calibri"/>
      </rPr>
      <t xml:space="preserve"> or actual Event attendees, whichever is greater. </t>
    </r>
  </si>
  <si>
    <r>
      <rPr>
        <b/>
        <sz val="8"/>
        <color theme="1"/>
        <rFont val="Calibri"/>
      </rPr>
      <t>7. Cancellations:</t>
    </r>
    <r>
      <rPr>
        <sz val="8"/>
        <color theme="1"/>
        <rFont val="Calibri"/>
      </rPr>
      <t xml:space="preserve"> Event Cancellations must be submitted in writing to the Events Department. Skylight Gardens reserves the right to impose a Cancellation fee for all Event Cancellations that meet the following parameters: </t>
    </r>
    <r>
      <rPr>
        <i/>
        <u/>
        <sz val="8"/>
        <color theme="1"/>
        <rFont val="Calibri"/>
      </rPr>
      <t>More than 31 Days:</t>
    </r>
    <r>
      <rPr>
        <sz val="8"/>
        <color theme="1"/>
        <rFont val="Calibri"/>
      </rPr>
      <t xml:space="preserve"> no fee; </t>
    </r>
    <r>
      <rPr>
        <i/>
        <u/>
        <sz val="8"/>
        <color theme="1"/>
        <rFont val="Calibri"/>
      </rPr>
      <t>7 - 30 Days:</t>
    </r>
    <r>
      <rPr>
        <sz val="8"/>
        <color theme="1"/>
        <rFont val="Calibri"/>
      </rPr>
      <t xml:space="preserve"> 50% of Food &amp; Beverage Minimum; </t>
    </r>
    <r>
      <rPr>
        <i/>
        <u/>
        <sz val="8"/>
        <color theme="1"/>
        <rFont val="Calibri"/>
      </rPr>
      <t>3 - 7 Days:</t>
    </r>
    <r>
      <rPr>
        <sz val="8"/>
        <color theme="1"/>
        <rFont val="Calibri"/>
      </rPr>
      <t xml:space="preserve"> 75% of Food &amp; Beverage Minimum; </t>
    </r>
    <r>
      <rPr>
        <i/>
        <u/>
        <sz val="8"/>
        <color theme="1"/>
        <rFont val="Calibri"/>
      </rPr>
      <t>Less than 3 Days:</t>
    </r>
    <r>
      <rPr>
        <sz val="8"/>
        <color theme="1"/>
        <rFont val="Calibri"/>
      </rPr>
      <t xml:space="preserve"> 100% of Food &amp; Beverage Minimum. (50% of any Event Cancellation fee may be used as a credit toward booking another Event within 1 year of the original cancelled Event date.)</t>
    </r>
  </si>
  <si>
    <r>
      <rPr>
        <b/>
        <sz val="8"/>
        <color theme="1"/>
        <rFont val="Calibri"/>
      </rPr>
      <t xml:space="preserve">9. Audio Visual: </t>
    </r>
    <r>
      <rPr>
        <sz val="8"/>
        <color theme="1"/>
        <rFont val="Calibri"/>
      </rPr>
      <t xml:space="preserve">Skylight Gardens is pleased to offer full audio and video solutions for your Event. Please see “the Rooms” for specific Event space capabilities. All audio/visual requests must be made at least three (3) business days prior to your Event and MUST be tested no less than forty-eight (48) hours prior to your Event. Hosts that do not “Test” their Audio Visual setup forty-eight (48) hours in advance of the Event are NOT Guaranteed full and/or seamless Audio Video Presentation Capabilities. Please notes: Event Hosts are responsible for providing all adapters necessary to connect their device(s) to audio and video inputs.
</t>
    </r>
    <r>
      <rPr>
        <u/>
        <sz val="8"/>
        <color theme="1"/>
        <rFont val="Calibri"/>
      </rPr>
      <t>Audio:</t>
    </r>
    <r>
      <rPr>
        <sz val="8"/>
        <color theme="1"/>
        <rFont val="Calibri"/>
      </rPr>
      <t xml:space="preserve"> headphone jack playable throughout the restaurant or only in the Bar/Atrium or Studio, HDMI &amp; Mini connections, wireless microphone
</t>
    </r>
    <r>
      <rPr>
        <u/>
        <sz val="8"/>
        <color theme="1"/>
        <rFont val="Calibri"/>
      </rPr>
      <t>Video:</t>
    </r>
    <r>
      <rPr>
        <sz val="8"/>
        <color theme="1"/>
        <rFont val="Calibri"/>
      </rPr>
      <t xml:space="preserve"> three (3) 60” flat screen LCD TVs, (1) 50" Flat screen Blu-ray player (VGA &amp; HDMI connections)
-Atrium: (10) 8” recessed celling speakers, audio mini jack
-Studio: (1) 60” flat screen LCD TV, (2) 16” powered Speakers, VGA, audio mini jack, Blu-ray player, podium &amp; lectern, wireless microphone
-Bar: (2) 60” flat screen LCD TVs, (1) 50" flat screen LCD TV, (5) 16” speakers, Blu-ray player, chromecast (HDMI, VGA, audio mini jack)</t>
    </r>
  </si>
  <si>
    <r>
      <rPr>
        <b/>
        <sz val="8"/>
        <color theme="1"/>
        <rFont val="Calibri"/>
      </rPr>
      <t xml:space="preserve">12. Special Menu Accommodations, Corkage &amp; Children’s Menus: </t>
    </r>
    <r>
      <rPr>
        <sz val="8"/>
        <color theme="1"/>
        <rFont val="Calibri"/>
      </rPr>
      <t>Please notify your Event Coordinator as soon as possible to accommodate any special meal provisions. No food or beverage of any kind may be brought into the Event Space without obtaining authorization from the Events Department and is subject to Service and/or labor charges deemed necessary by management. Skylight Gardens will gladly accommodate guests with special dietary needs not met by the agreed Event Menu, including, but not limited to specific food allergies. Accommodations for Kosher menu selections may also be available, subject to additional preparation and administrative fees. Requests for Kosher preparation must be finalized at least three (3) weeks prior to your Event. Wine and champagne is subject to a $25 Corkage fee per 750ml bottle and is limited to 5 Bottles per Event. Please inquire about children’s menus for guests under 10.</t>
    </r>
  </si>
  <si>
    <r>
      <t xml:space="preserve">13. Transportation, Floral &amp; Specialty Bakery Arrangements: </t>
    </r>
    <r>
      <rPr>
        <sz val="8"/>
        <color theme="1"/>
        <rFont val="Calibri"/>
      </rPr>
      <t>Our Events Department can assist you with a car service and well as any botanical needs. We have a vast array of vendors to provide stylish transportation and floral arrangements suited for any occasion. Please advise your Event Coordinator of any requests at least one (1) week in advance of the event.</t>
    </r>
  </si>
  <si>
    <r>
      <rPr>
        <b/>
        <sz val="8"/>
        <color theme="1"/>
        <rFont val="Calibri"/>
      </rPr>
      <t xml:space="preserve">15. Room/Rental Fee: </t>
    </r>
    <r>
      <rPr>
        <sz val="8"/>
        <color theme="1"/>
        <rFont val="Calibri"/>
      </rPr>
      <t>Skylight Gardens reserves the right to impose a Room/Rental Fee for the set-up, break-down, or service of Events with extraordinary requirements, including but not limited to, additional sound partitions, large musical equipment, or the installation/removal of exiting furniture/fixtures. Skylight Gardens will provide prompt notice of any need to impose this fee.</t>
    </r>
  </si>
  <si>
    <r>
      <rPr>
        <b/>
        <sz val="8"/>
        <color theme="1"/>
        <rFont val="Calibri"/>
      </rPr>
      <t xml:space="preserve">16. Additional Payment: </t>
    </r>
    <r>
      <rPr>
        <sz val="8"/>
        <color theme="1"/>
        <rFont val="Calibri"/>
      </rPr>
      <t>If any additional food, beverage, or services are provided as an accommodation to the Host, including but not limited to, overtime or additional guests, and are considered beyond the scope of Event services contemplated in this Agreement, payment for those services and/or items must be secured with a credit card through the attached Credit Card Authorization Form. Payment for all Event services is due immediately upon completion of your Event. Skylight Gardens reserves the right to impose a $150/hr. (brunch/lunch) and $300/hr. (dinner) F &amp; B Min premium on Events lasting longer than the scheduled Event.</t>
    </r>
  </si>
  <si>
    <r>
      <rPr>
        <b/>
        <sz val="8"/>
        <color theme="1"/>
        <rFont val="Calibri"/>
      </rPr>
      <t xml:space="preserve">24. Insurance: </t>
    </r>
    <r>
      <rPr>
        <sz val="8"/>
        <color theme="1"/>
        <rFont val="Calibri"/>
      </rPr>
      <t>In certain instances, Host may be required to procure and maintain, at its expense, policies of insurance from Host, Hosts agents, contractors, Event Planners, Event Coordinators and/or vendors involved in the Event, naming Vendor as an additional insured, in such amounts, upon such terms and with such responsible insurance companies as shall be satisfactory to Skylight Gardens, including comprehensive general liability coverage with specific endorsement acknowledging the insuring of the contractual liabilities assumed by Host under this agreement, including but not limited to bodily injury, personal injury, death and damage to property and such workers compensation, employer’s liability, and automobile liability coverage as may be reasonably required by Skylight Gardens. Insurance certificates shall evidence such insurance with the minimum following limits: General liability $1,000,000 per occurrence/ $2,000,000 annual aggregate. Certificates of insurance of each such policy shall be delivered at least three (3) business days prior to the Event Date to the Event Coordinator. Failure to provide requested insurance documentation by the specified time may result in cancellation of your Event reservation. Skylight Gardens will provide prompt notice of any need to impose this Insurance requirement.</t>
    </r>
  </si>
  <si>
    <r>
      <t xml:space="preserve">25. Impossibility: </t>
    </r>
    <r>
      <rPr>
        <sz val="8"/>
        <color theme="1"/>
        <rFont val="Calibri"/>
      </rPr>
      <t>Skylight Gardens and its Owners shall not be held liable for failure to carry out the function to fire, electrical/mechanical failure, an act of God or any other condition beyond reasonable control.</t>
    </r>
  </si>
  <si>
    <r>
      <rPr>
        <b/>
        <sz val="8"/>
        <color theme="1"/>
        <rFont val="Calibri"/>
      </rPr>
      <t xml:space="preserve">26. Indemnification: </t>
    </r>
    <r>
      <rPr>
        <sz val="8"/>
        <color theme="1"/>
        <rFont val="Calibri"/>
      </rPr>
      <t>“Host” hereby agrees to indemnify and hold harmless Skylight Gardens, and its employees, agents, heirs, successors and assigns from any and all damages, actions, suits, claims or other costs (including reasonable attorney fees) arising out of or in connection with any damage to the property or any injury caused to any person (including death) caused by Host’s use of Skylight Gardens property. This includes any acts or omissions on the part of Host, their employees, officers, directors, independent contractors, guests, invitees, contractors or other agents. Host shall immediately notify Skylight Gardens of any damage or injury of which they have knowledge in, to, or near the property, regardless of cause of such damage or injury.</t>
    </r>
  </si>
  <si>
    <r>
      <t xml:space="preserve">27. Entire Agreement: </t>
    </r>
    <r>
      <rPr>
        <sz val="8"/>
        <color theme="1"/>
        <rFont val="Calibri"/>
      </rPr>
      <t>This agreement, which constitutes the entire agreement between Vendor and Host, is effective as of the date and year listed above and supersedes any prior understanding or representation preceding the date of this Agreement. There are no other promises, conditions, understandings or other Agreements, written or oral, relating to the subject matter of this Agreement. This Agreement may be amended or modified only by a writing duly executed and acknowledge by all parties hereto.</t>
    </r>
  </si>
  <si>
    <r>
      <t xml:space="preserve">28. Severability: </t>
    </r>
    <r>
      <rPr>
        <sz val="8"/>
        <color theme="1"/>
        <rFont val="Calibri"/>
      </rPr>
      <t>If any part of this agreement is found to be invalid for any reason by a court of competent jurisdiction, then the remaining portions of the Agreement shall remain in full force and effect.</t>
    </r>
  </si>
  <si>
    <r>
      <rPr>
        <b/>
        <sz val="8"/>
        <color theme="1"/>
        <rFont val="Calibri"/>
      </rPr>
      <t xml:space="preserve">29. Controlling Law: </t>
    </r>
    <r>
      <rPr>
        <sz val="8"/>
        <color theme="1"/>
        <rFont val="Calibri"/>
      </rPr>
      <t>This Agreement Shall Be Governed And Interpreted Under California Law.</t>
    </r>
  </si>
  <si>
    <r>
      <rPr>
        <b/>
        <sz val="8"/>
        <color theme="1"/>
        <rFont val="Calibri"/>
      </rPr>
      <t xml:space="preserve">30. Acceptance: </t>
    </r>
    <r>
      <rPr>
        <i/>
        <sz val="8"/>
        <color theme="1"/>
        <rFont val="Calibri"/>
      </rPr>
      <t>(not valid until signed by both parties - Vendor and Host)</t>
    </r>
  </si>
  <si>
    <r>
      <t xml:space="preserve">140125LSTCC
</t>
    </r>
    <r>
      <rPr>
        <sz val="8"/>
        <color rgb="FF000000"/>
        <rFont val="Calibri"/>
      </rPr>
      <t>January 25th, 2014
Lunch - Studio - Credit Card</t>
    </r>
  </si>
  <si>
    <t>HOST -  PRINTED NAME</t>
  </si>
  <si>
    <t>HOST -  SIGNATURE</t>
  </si>
  <si>
    <r>
      <rPr>
        <b/>
        <sz val="8"/>
        <color theme="1"/>
        <rFont val="Calibri"/>
      </rPr>
      <t xml:space="preserve">14. Captain's Fee: </t>
    </r>
    <r>
      <rPr>
        <sz val="8"/>
        <color theme="1"/>
        <rFont val="Calibri"/>
      </rPr>
      <t xml:space="preserve">Events with 45 or more guests will be charged a Captains Fee in the following amounts:           
</t>
    </r>
    <r>
      <rPr>
        <i/>
        <sz val="8"/>
        <color theme="1"/>
        <rFont val="Calibri"/>
      </rPr>
      <t>Lunch Captain:</t>
    </r>
    <r>
      <rPr>
        <sz val="8"/>
        <color theme="1"/>
        <rFont val="Calibri"/>
      </rPr>
      <t xml:space="preserve"> $75; </t>
    </r>
    <r>
      <rPr>
        <i/>
        <sz val="8"/>
        <color theme="1"/>
        <rFont val="Calibri"/>
      </rPr>
      <t xml:space="preserve">Dinner Captain: </t>
    </r>
    <r>
      <rPr>
        <sz val="8"/>
        <color theme="1"/>
        <rFont val="Calibri"/>
      </rPr>
      <t xml:space="preserve">$150. </t>
    </r>
  </si>
  <si>
    <r>
      <rPr>
        <b/>
        <sz val="8"/>
        <color theme="1"/>
        <rFont val="Calibri"/>
      </rPr>
      <t xml:space="preserve">17. Additional Staff Charges: </t>
    </r>
    <r>
      <rPr>
        <sz val="8"/>
        <color theme="1"/>
        <rFont val="Calibri"/>
      </rPr>
      <t>If you have requested the presence of additional Event staff, or if any additional Event staff is required to service your Event, an additional staffing charge will be included on your final Event bill. Additional Event staffing requirements may include, but are not limited to, extra bartenders, coat check, or bathroom attendants and Captains. Your Event director will provide prompt notice of any need to impose this fee. Please see “Bar Packages” for more details.</t>
    </r>
  </si>
  <si>
    <r>
      <t xml:space="preserve">19. Shipping Materials: </t>
    </r>
    <r>
      <rPr>
        <sz val="8"/>
        <color theme="1"/>
        <rFont val="Calibri"/>
      </rPr>
      <t xml:space="preserve">We are pleased to assist in the handling of packages delivered in preparation for your Event. Prior to shipping any materials, however, please notify the Events Department. </t>
    </r>
    <r>
      <rPr>
        <u/>
        <sz val="8"/>
        <color theme="1"/>
        <rFont val="Calibri"/>
      </rPr>
      <t>Skylight Gardens will not accept responsibility for any items delivered to the premises unless prior arrangements have been made with the Events Department.</t>
    </r>
    <r>
      <rPr>
        <sz val="8"/>
        <color theme="1"/>
        <rFont val="Calibri"/>
      </rPr>
      <t xml:space="preserve"> Please be certain to coordinate the collection all belongings immediately following your Event. Skylight Gardens is not responsible for damage to or loss of any property left on the restaurant premises following your Event. All materials must be addressed to: </t>
    </r>
    <r>
      <rPr>
        <i/>
        <sz val="8"/>
        <color theme="1"/>
        <rFont val="Calibri"/>
      </rPr>
      <t>Host Name c/o Skylight Gardens, Event ID #:(see top of page) , 1139 Glendon Ave, Los Angeles, CA 90024</t>
    </r>
  </si>
  <si>
    <r>
      <rPr>
        <b/>
        <sz val="8"/>
        <color theme="1"/>
        <rFont val="Calibri"/>
      </rPr>
      <t>8. Decorations/Signage:</t>
    </r>
    <r>
      <rPr>
        <sz val="8"/>
        <color theme="1"/>
        <rFont val="Calibri"/>
      </rPr>
      <t xml:space="preserve"> No signage of any kind is permitted on the exterior of the building. Signage may be used inside with management approval. All decorations and signage must be approved by the Event Coordinator in advance of the Event. </t>
    </r>
    <r>
      <rPr>
        <u/>
        <sz val="8"/>
        <color theme="1"/>
        <rFont val="Calibri"/>
      </rPr>
      <t>No command hooks, tacks, pins, nails, confetti, glitter, birdseed, or rice will be allowed under any circumstance.</t>
    </r>
    <r>
      <rPr>
        <sz val="8"/>
        <color theme="1"/>
        <rFont val="Calibri"/>
      </rPr>
      <t xml:space="preserve"> You may use string and tape to affix your decorations. All decorations and items, either rented or belonging to the Event Host must be cleaned up and removed at the conclusion of the Event, or by special arrangements with the Event Coordinator. Skylight Gardens reserves the right to remove decoration or signage that is deemed inappropriate by Management.</t>
    </r>
  </si>
  <si>
    <r>
      <t xml:space="preserve">10. Event Menus &amp; Pricing: </t>
    </r>
    <r>
      <rPr>
        <sz val="8"/>
        <color theme="1"/>
        <rFont val="Calibri"/>
      </rPr>
      <t>Food &amp; Beverage Event Menus change seasonally to feature fresh seasonal cuisine. So that our chef may order the freshest foods possible for your Event and to guarantee availability, all Event Menu selections must be finalized at least three (3) business days prior to your Event. The final Event price will be calculated in the following manner:</t>
    </r>
  </si>
  <si>
    <r>
      <t xml:space="preserve">11. Parking: </t>
    </r>
    <r>
      <rPr>
        <sz val="8"/>
        <color theme="1"/>
        <rFont val="Calibri"/>
      </rPr>
      <t>United Valet offers Skylight Gardens guests valet parking at a posted rate of $4 or $6</t>
    </r>
    <r>
      <rPr>
        <i/>
        <sz val="8"/>
        <color theme="1"/>
        <rFont val="Calibri"/>
      </rPr>
      <t xml:space="preserve"> (subject to change)</t>
    </r>
    <r>
      <rPr>
        <sz val="8"/>
        <color theme="1"/>
        <rFont val="Calibri"/>
      </rPr>
      <t>. Valet is available from 11am to 12am. Events that wish to cover the cost of valet parking for their guests may make arrangements, in advance, for the posted rate, plus $2 service/per vehicle. To retrieve your car(s), please alert the restaurant host in advance and allow up to fifteen (15) minutes for delivery.</t>
    </r>
  </si>
  <si>
    <r>
      <rPr>
        <b/>
        <sz val="8"/>
        <color theme="1"/>
        <rFont val="Calibri"/>
      </rPr>
      <t xml:space="preserve">20. Timing and Overtime: </t>
    </r>
    <r>
      <rPr>
        <sz val="8"/>
        <color theme="1"/>
        <rFont val="Calibri"/>
      </rPr>
      <t>Overtime is based on availability and is not guaranteed for your Event. Due to kitchen logistics and in order to ensure the intended Event experience, we request that all guests be seated promptly and that orders are taken as soon as your guests arrive. If your Event runs over your scheduled End/Clean Up time, Skylight Gardens reserves the right to charge an overtime fee at a rate of $25.00 per person per hour.</t>
    </r>
  </si>
  <si>
    <r>
      <rPr>
        <b/>
        <sz val="8"/>
        <color theme="1"/>
        <rFont val="Calibri"/>
      </rPr>
      <t>22. Liquor Laws:</t>
    </r>
    <r>
      <rPr>
        <sz val="8"/>
        <color theme="1"/>
        <rFont val="Calibri"/>
      </rPr>
      <t xml:space="preserve"> In compliance with State Law, no hard liquor may be brought onto Skylight Gardens property and premises from outside sources. All persons consuming liquor must be of legal age. Visibly intoxicated persons will not be served alcohol and may be asked to leave the premises by management. State Liquor Laws require that all liquor must be off the restaurant floor by 2:00 am. To meet this requirement, last call will be announced at 1:30 am, entertainment should cease at 1:45 am and all beverages will be cleared from the floor before 2:00 am. Skylight Gardens reserves the right to require proof of appropriate age from any and all Event guest(s) before serving alcoholic beverages.</t>
    </r>
  </si>
  <si>
    <r>
      <rPr>
        <b/>
        <sz val="8"/>
        <color theme="1"/>
        <rFont val="Calibri"/>
      </rPr>
      <t xml:space="preserve">23. Conduct, Damages &amp; Host Responsibility: </t>
    </r>
    <r>
      <rPr>
        <sz val="8"/>
        <color theme="1"/>
        <rFont val="Calibri"/>
      </rPr>
      <t>While Skylight Gardens encourages a festive atmosphere, we ask that all Event guests drink responsibly and maintain a reasonable noise level that respects the ambience and atmosphere for others in the restaurant. Host assumes full responsibility for the conduct of all persons in attendance and for any damages, loss or liability therein. Host agrees to conduct the function in an orderly manner in full compliance with all applicable laws, regulations and Skylight Gardens house rules. Skylight Gardens and its Owners reserve the right to refuse patronage and service of any Host and guest(s) if they do not comply accordingly. Skylight Gardens and its Owners also reserve the right to terminate any Event upon non-compliance with the applicable rules and regulations. Further, Skylight Gardens management reserves the right to prohibit the consumption of alcohol by any or all guests attending the Event should management deem it necessary for safety reasons. Skylight Gardens cannot assume responsibility for personal property or equipment brought into the function. Skylight Gardens cannot be held responsible for the damage/loss of any property which you/your guests bring to the Event. Personal effects and equipment must be promptly removed from the Event Space at the end of the Event. Open flames are prohibited throughout the restaurant. All candle flames must be protected by glass encasements. Smoking is prohibited at all times in the restaurant.</t>
    </r>
  </si>
  <si>
    <r>
      <rPr>
        <b/>
        <sz val="8"/>
        <color theme="1"/>
        <rFont val="Calibri"/>
      </rPr>
      <t>21. Building Access, Deliveries &amp; Vendor Information:</t>
    </r>
    <r>
      <rPr>
        <sz val="8"/>
        <color theme="1"/>
        <rFont val="Calibri"/>
      </rPr>
      <t xml:space="preserve">  All vendors and suppliers hired by Host must follow Skylight Gardens policies and procedures. Supplier arrival information must be communicated to the Events Department a minimum of twenty-four (24) hours in advance of delivery. Host agrees that it will furnish Skylight Gardens with a list of deliveries, and that all deliveries must be cleared with Skylight Gardens in advance. All suppliers are asked to enter the restaurant through the back/side entrance located in the alley bordering the northern side of the building. Use of the loading zone on directly in front of the building on Glendon Ave is strictly prohibited. Hosts requiring direct access to an entrance on the restaurant floor may request management permission for using the alternate entrance. Access made available through Lindbrook side entrance is subject to strict time controls. Deliveries of any kind will not be accepted between the hours of 11:15 am – 2:30 pm and 4 pm – 11 pm. Unless otherwise specified, all deliveries should take place in the alley located along the northern façade of the building, running parallel to Lindbook Ave and perpendicular to Glendon Ave. The alley provides access to a service elevator for delivering material to and from the Event Space. </t>
    </r>
    <r>
      <rPr>
        <i/>
        <u/>
        <sz val="8"/>
        <color theme="1"/>
        <rFont val="Calibri"/>
      </rPr>
      <t>Loading Door: 42” W x 80” H Service Elevator: 2500 lbs.; Elevator Entrance: 48” W x 84” H Elevator Cab: 80” W x 60” D x 96” H</t>
    </r>
  </si>
  <si>
    <r>
      <t>Contact</t>
    </r>
    <r>
      <rPr>
        <b/>
        <i/>
        <sz val="9"/>
        <color theme="1"/>
        <rFont val="Calibri"/>
      </rPr>
      <t xml:space="preserve"> </t>
    </r>
    <r>
      <rPr>
        <i/>
        <sz val="8"/>
        <color theme="1"/>
        <rFont val="Calibri"/>
      </rPr>
      <t>(one responsible contact must be present at Event)</t>
    </r>
  </si>
  <si>
    <r>
      <t>Event Contact</t>
    </r>
    <r>
      <rPr>
        <b/>
        <i/>
        <sz val="9"/>
        <color theme="1"/>
        <rFont val="Calibri"/>
      </rPr>
      <t xml:space="preserve"> </t>
    </r>
    <r>
      <rPr>
        <i/>
        <sz val="9"/>
        <color theme="1"/>
        <rFont val="Calibri"/>
      </rPr>
      <t>(one responsible party must be present at Event)</t>
    </r>
  </si>
  <si>
    <r>
      <t>Event Contact</t>
    </r>
    <r>
      <rPr>
        <b/>
        <i/>
        <sz val="9"/>
        <color theme="1"/>
        <rFont val="Calibri"/>
      </rPr>
      <t xml:space="preserve"> </t>
    </r>
    <r>
      <rPr>
        <i/>
        <sz val="8"/>
        <color theme="1"/>
        <rFont val="Calibri"/>
      </rPr>
      <t>(one responsible party must be present at Event)</t>
    </r>
  </si>
  <si>
    <t>event date</t>
  </si>
  <si>
    <t>deposit employee</t>
  </si>
  <si>
    <t>deposit check #</t>
  </si>
  <si>
    <t>deposit table #</t>
  </si>
  <si>
    <r>
      <t xml:space="preserve">Acceptance </t>
    </r>
    <r>
      <rPr>
        <i/>
        <sz val="8"/>
        <color rgb="FF000000"/>
        <rFont val="Calibri"/>
      </rPr>
      <t>(Valid only if signed and returned within three (3) business days of receipt.)</t>
    </r>
  </si>
  <si>
    <t>payment status</t>
  </si>
  <si>
    <t>payment type</t>
  </si>
  <si>
    <t>date processed</t>
  </si>
  <si>
    <t>cake fee</t>
  </si>
  <si>
    <t>corkage fee</t>
  </si>
  <si>
    <r>
      <rPr>
        <b/>
        <sz val="8"/>
        <color theme="1"/>
        <rFont val="Calibri"/>
      </rPr>
      <t>18. Electrical Power:</t>
    </r>
    <r>
      <rPr>
        <sz val="8"/>
        <color theme="1"/>
        <rFont val="Calibri"/>
      </rPr>
      <t xml:space="preserve"> Events needing additional power must receive prior management approval and will be subject to additional Room/Rental fees. Please submit a complete list of your electrical/power requirements to the Events Department no less than two (2) weeks prior to your Event. </t>
    </r>
  </si>
  <si>
    <t>("GUEST GUARANTEE: Your Guest Guarantee of ___________________________ persons is considered approximate and may be adjusted at any point more than three (3) business days prior to your Event(s)."&amp;" The final Guest Guarantee is the basis upon which food and staff are scheduled for your Event(s). Any guest count modifications made with less than seventy-two (72) hours notice cannot be guaranteed.")</t>
  </si>
  <si>
    <t>administration fee %</t>
  </si>
  <si>
    <t>suggested gratuity %</t>
  </si>
  <si>
    <t>open (1 hr)</t>
  </si>
  <si>
    <t>open (2 hrs)</t>
  </si>
  <si>
    <t>open (3 hrs)</t>
  </si>
  <si>
    <t>hosted (3 hrs)</t>
  </si>
  <si>
    <t>hosted (2 hrs)</t>
  </si>
  <si>
    <t>hosted (1 hr)</t>
  </si>
  <si>
    <r>
      <rPr>
        <b/>
        <sz val="6"/>
        <color rgb="FFFF0000"/>
        <rFont val="Calibri"/>
      </rPr>
      <t>140122DATAR</t>
    </r>
    <r>
      <rPr>
        <sz val="6"/>
        <color rgb="FFFF0000"/>
        <rFont val="Calibri"/>
      </rPr>
      <t xml:space="preserve">
January 22th, 2014
Dinner - Atrium -  Receivable</t>
    </r>
  </si>
  <si>
    <r>
      <t xml:space="preserve">150125LSTCC
</t>
    </r>
    <r>
      <rPr>
        <sz val="6"/>
        <color rgb="FFFF0000"/>
        <rFont val="Calibri"/>
      </rPr>
      <t>January 25th, 2015
Lunch - Studio - Credit Card</t>
    </r>
  </si>
  <si>
    <t>open (4 hrs)</t>
  </si>
  <si>
    <t>hosted (4 hrs)</t>
  </si>
  <si>
    <r>
      <t>Billing &amp; Payment</t>
    </r>
    <r>
      <rPr>
        <i/>
        <sz val="9"/>
        <color theme="1"/>
        <rFont val="Calibri"/>
      </rPr>
      <t xml:space="preserve"> (suggested gratuity is discretionary and may be changed at any time)</t>
    </r>
  </si>
  <si>
    <t>task</t>
  </si>
  <si>
    <t>event duration</t>
  </si>
  <si>
    <r>
      <rPr>
        <sz val="8"/>
        <rFont val="Calibri"/>
      </rPr>
      <t>billing &amp; payment instructions:</t>
    </r>
  </si>
  <si>
    <t>prix fixe menu  $/pp</t>
  </si>
  <si>
    <t>beverage menu $/pp</t>
  </si>
  <si>
    <t>reception menu $/pp</t>
  </si>
  <si>
    <r>
      <rPr>
        <u/>
        <sz val="8"/>
        <color theme="1"/>
        <rFont val="Calibri"/>
      </rPr>
      <t>start</t>
    </r>
    <r>
      <rPr>
        <sz val="8"/>
        <color theme="1"/>
        <rFont val="Calibri"/>
      </rPr>
      <t xml:space="preserve"> time</t>
    </r>
  </si>
  <si>
    <t>not processed</t>
  </si>
  <si>
    <t>Additional Details</t>
  </si>
  <si>
    <t>Event Overview</t>
  </si>
  <si>
    <t>deposit status</t>
  </si>
  <si>
    <r>
      <t xml:space="preserve">Billing &amp; Payment </t>
    </r>
    <r>
      <rPr>
        <i/>
        <sz val="9"/>
        <color theme="1"/>
        <rFont val="Calibri"/>
      </rPr>
      <t>(suggested gratuity is discretionary and may be changed at any time)</t>
    </r>
  </si>
  <si>
    <r>
      <rPr>
        <sz val="8"/>
        <rFont val="Calibri"/>
      </rPr>
      <t>billing &amp; payment notes/instructions:</t>
    </r>
  </si>
  <si>
    <t>about:</t>
  </si>
  <si>
    <t xml:space="preserve"> Deposit:</t>
  </si>
  <si>
    <t>F &amp; B Min:</t>
  </si>
  <si>
    <t>event #</t>
  </si>
  <si>
    <t>Job</t>
  </si>
  <si>
    <t>date 1</t>
  </si>
  <si>
    <t>payment details:</t>
  </si>
  <si>
    <t>buyout</t>
  </si>
  <si>
    <r>
      <t>Contact</t>
    </r>
    <r>
      <rPr>
        <b/>
        <i/>
        <sz val="9"/>
        <color theme="1"/>
        <rFont val="Calibri"/>
      </rPr>
      <t xml:space="preserve"> </t>
    </r>
    <r>
      <rPr>
        <i/>
        <sz val="8.5"/>
        <color theme="1"/>
        <rFont val="Calibri"/>
      </rPr>
      <t>(one responsible contact must be present at Event)</t>
    </r>
  </si>
  <si>
    <r>
      <t xml:space="preserve">4. Taxes, Administrative Fees and Gratuity: </t>
    </r>
    <r>
      <rPr>
        <sz val="8"/>
        <color theme="1"/>
        <rFont val="Calibri"/>
      </rPr>
      <t xml:space="preserve">All Food, Beverage, and Event services are subject to a 9% California State Sales Tax </t>
    </r>
    <r>
      <rPr>
        <i/>
        <sz val="8"/>
        <color theme="1"/>
        <rFont val="Calibri"/>
      </rPr>
      <t>(rates subject to change)</t>
    </r>
    <r>
      <rPr>
        <sz val="8"/>
        <color theme="1"/>
        <rFont val="Calibri"/>
      </rPr>
      <t xml:space="preserve"> and a 7% Administrative Fee. Events with exceptional service requirements, as determined </t>
    </r>
    <r>
      <rPr>
        <i/>
        <sz val="8"/>
        <color theme="1"/>
        <rFont val="Calibri"/>
      </rPr>
      <t>based on an assessment of each Event's particulars and service needs, will incur a 22% Service Fee (Administrative Fee incl.) for all Food, Beverage and Event Services</t>
    </r>
    <r>
      <rPr>
        <sz val="8"/>
        <color theme="1"/>
        <rFont val="Calibri"/>
      </rPr>
      <t>. Event not charged a Service Fee are highly encouraged to leave gratuity for your attending wait staff in one of the suggested gratuity amounts.</t>
    </r>
  </si>
  <si>
    <t xml:space="preserve"> persons is considered approximate and non-binding until three (3) business days prior to your Event. If a final Guest Guarantee is not provided at least three (3) business days prior to your Event, the approximate Guest Guarantee initially contemplated in this Agreement will automatically convert to a final Guest Guarantee. The final Guest Guarantee will form the basis upon which the final Event bill will be computed and cannot be reduced. Full accommodations for more than a 15% increased guest count cannot be guaranteed without three (3) days notice.</t>
  </si>
  <si>
    <t>GUEST GUARANTEE: Your Guest Guarantee is considered approximate and non-binding until three (3) business days prior to your Event. If a final Guest Guarantee is not provided at least three (3) business days prior to your Event, the approximate Guest Guarantee initially contemplated in this Agreement will automatically convert to a Final Guest Guarantee. The Final Guest Guarantee will form the basis upon which the final Event bill will be computed and cannot be reduced. Full accommodations for more than a 15% increased guest count cannot be guaranteed without three (3) days notice.</t>
  </si>
  <si>
    <t xml:space="preserve">PAYMENT: Payment by credit card or approved check is due immediately upon the conclusion of the Event. Payments by check must be coordinated with and approved by your Event Manager at least five (5) business days prior to the Event. Skylight Gardens requests that all Event Hosts paying with a credit card present their physical card at the time of the Event. If your card is not available at the time of the Event, Host authorizes Skylight Gardens to charge any outstanding balance to the credit card authorized in the attached CC Authorization Form. Your Event Deposit will be deducted from the final Event bill. Please note: Event payments in excess of $10,000 not paid by an approved check or wire transfer will incur a 3% credit card transaction fee. All returned Checks are subject to a $50 return fee.                       </t>
  </si>
  <si>
    <t>Event Space</t>
  </si>
  <si>
    <t>Event Style</t>
  </si>
  <si>
    <t>Event Duration</t>
  </si>
  <si>
    <t>Event Time</t>
  </si>
  <si>
    <t>F &amp; B Min</t>
  </si>
  <si>
    <t>FLOOR PLAN</t>
  </si>
  <si>
    <t>Credit Card Information</t>
  </si>
  <si>
    <r>
      <rPr>
        <b/>
        <sz val="7"/>
        <color theme="1"/>
        <rFont val="Calibri"/>
      </rPr>
      <t xml:space="preserve">STAFF NOTICE: </t>
    </r>
    <r>
      <rPr>
        <sz val="7"/>
        <color theme="1"/>
        <rFont val="Calibri"/>
      </rPr>
      <t xml:space="preserve">please obscure (cross out) credit card information in the shaded boxes above and destroy any credit card image once payment is processed. 
Per PCI Compliance Security Standards, ONLY the credit card's last 4-digits and expiration date may be retained following the Event. </t>
    </r>
  </si>
  <si>
    <r>
      <rPr>
        <b/>
        <u/>
        <sz val="8"/>
        <color rgb="FF008000"/>
        <rFont val="Calibri"/>
      </rPr>
      <t>AUTO-NAME &amp; AUTO-AMOUNT</t>
    </r>
  </si>
  <si>
    <r>
      <rPr>
        <b/>
        <u/>
        <sz val="8"/>
        <color rgb="FF008000"/>
        <rFont val="Calibri"/>
      </rPr>
      <t>BLANK &amp; AUTO-AMOUNT</t>
    </r>
  </si>
  <si>
    <r>
      <t xml:space="preserve">IF - </t>
    </r>
    <r>
      <rPr>
        <b/>
        <u/>
        <sz val="8"/>
        <color rgb="FFFF0000"/>
        <rFont val="Calibri"/>
      </rPr>
      <t>AUTO-FILL</t>
    </r>
    <r>
      <rPr>
        <b/>
        <sz val="8"/>
        <color rgb="FFFF0000"/>
        <rFont val="Calibri"/>
      </rPr>
      <t xml:space="preserve"> - CC DEP vs NO CC DEP</t>
    </r>
  </si>
  <si>
    <r>
      <t xml:space="preserve">IF - </t>
    </r>
    <r>
      <rPr>
        <b/>
        <u/>
        <sz val="8"/>
        <color rgb="FFFF0000"/>
        <rFont val="Calibri"/>
      </rPr>
      <t>BLANK</t>
    </r>
    <r>
      <rPr>
        <b/>
        <sz val="8"/>
        <color rgb="FFFF0000"/>
        <rFont val="Calibri"/>
      </rPr>
      <t xml:space="preserve"> - CC DEP vs NO CC DEP</t>
    </r>
  </si>
  <si>
    <r>
      <t xml:space="preserve">DEPOSIT &amp; CC  AUTH  - </t>
    </r>
    <r>
      <rPr>
        <b/>
        <u/>
        <sz val="8"/>
        <color rgb="FFFF0000"/>
        <rFont val="Calibri"/>
      </rPr>
      <t>AUTO-FILL</t>
    </r>
  </si>
  <si>
    <r>
      <t xml:space="preserve">DEPOSIT &amp; CC  AUTH  - </t>
    </r>
    <r>
      <rPr>
        <b/>
        <u/>
        <sz val="8"/>
        <color rgb="FFFF0000"/>
        <rFont val="Calibri"/>
      </rPr>
      <t>BLANK LINE</t>
    </r>
  </si>
  <si>
    <r>
      <t xml:space="preserve">CC  AUTH ONLY - </t>
    </r>
    <r>
      <rPr>
        <b/>
        <u/>
        <sz val="8"/>
        <color rgb="FFFF0000"/>
        <rFont val="Calibri"/>
      </rPr>
      <t>AUTO-FILL</t>
    </r>
  </si>
  <si>
    <r>
      <t xml:space="preserve">CC  AUTH ONLY - </t>
    </r>
    <r>
      <rPr>
        <b/>
        <u/>
        <sz val="8"/>
        <color rgb="FFFF0000"/>
        <rFont val="Calibri"/>
      </rPr>
      <t>BLANK LINE</t>
    </r>
  </si>
  <si>
    <t>When:</t>
  </si>
  <si>
    <t>print cardholder name</t>
  </si>
  <si>
    <t>cardholder signature</t>
  </si>
  <si>
    <t>Parking:</t>
  </si>
  <si>
    <t>Dep:</t>
  </si>
  <si>
    <t>Pay:</t>
  </si>
  <si>
    <t>cc authorization</t>
  </si>
  <si>
    <r>
      <rPr>
        <u/>
        <sz val="8"/>
        <rFont val="Calibri"/>
      </rPr>
      <t>end</t>
    </r>
    <r>
      <rPr>
        <sz val="8"/>
        <rFont val="Calibri"/>
      </rPr>
      <t xml:space="preserve"> time</t>
    </r>
  </si>
  <si>
    <t>beverage menu $/pp.</t>
  </si>
  <si>
    <t>prix fixe menu  $/pp.</t>
  </si>
  <si>
    <t>reception menu $/pp.</t>
  </si>
  <si>
    <t>$2.5/ea.</t>
  </si>
  <si>
    <t>$25/ea.</t>
  </si>
  <si>
    <t>deposit payment type</t>
  </si>
  <si>
    <t>event manager</t>
  </si>
  <si>
    <t>EVENT MANAGER APPROVAL</t>
  </si>
  <si>
    <t>event director</t>
  </si>
  <si>
    <r>
      <t xml:space="preserve">Host Information </t>
    </r>
    <r>
      <rPr>
        <i/>
        <sz val="10"/>
        <rFont val="Calibri"/>
      </rPr>
      <t>(person or organization responsible for Event)</t>
    </r>
  </si>
  <si>
    <r>
      <t xml:space="preserve">Billing Information </t>
    </r>
    <r>
      <rPr>
        <i/>
        <sz val="10"/>
        <rFont val="Calibri"/>
      </rPr>
      <t>(person or organization responsible for Payment)</t>
    </r>
  </si>
  <si>
    <t>Sample Post Event Service Report</t>
  </si>
  <si>
    <t>Contact:</t>
  </si>
  <si>
    <t>1139 Glendon Avenue
Westwood Village
Los Angeles, CA 90024
p: 310.824.1818 
f: 310.492.0488</t>
  </si>
  <si>
    <t>Guest Guarantee:</t>
  </si>
  <si>
    <t>When &amp; Where:</t>
  </si>
  <si>
    <t>Event Menus:</t>
  </si>
  <si>
    <t>initial</t>
  </si>
  <si>
    <t>JJ Weiner</t>
  </si>
  <si>
    <t>$35++</t>
  </si>
  <si>
    <t>Balance due @ conclusion with credit card authorization</t>
  </si>
  <si>
    <r>
      <rPr>
        <b/>
        <sz val="8"/>
        <color theme="4"/>
        <rFont val="Calibri"/>
      </rPr>
      <t xml:space="preserve">STARTER
-select one-
soup of the day
chef’s selection
caesar
chopped romaine, shaved parmigiano, crostini, caesar dressing
ENTRÉE
-select one-
pulled short rib sandwich
slow cooked all-natural beef short rib, house special coleslaw, jalapeño aioli, barbecue sauce, brioche bun
pollo e avocado panino
grilled organic chicken breast, caramelized onions, avocado, mixed greens, tomato, jalapeño aioli, provolone, italian ciabatta
penne all’arrabbiata
garlic, red pepper, italian parsley, spicy tomato sauce
DOLCE
Tiramisu
</t>
    </r>
  </si>
  <si>
    <r>
      <rPr>
        <sz val="7"/>
        <color theme="1"/>
        <rFont val="Calibri"/>
      </rPr>
      <t>Prix Fixe Menu</t>
    </r>
    <r>
      <rPr>
        <b/>
        <sz val="7"/>
        <color theme="1"/>
        <rFont val="Calibri"/>
      </rPr>
      <t xml:space="preserve">
$35/pp++
</t>
    </r>
  </si>
  <si>
    <r>
      <rPr>
        <b/>
        <sz val="8"/>
        <color theme="4"/>
        <rFont val="Calibri"/>
      </rPr>
      <t>INCLUDED</t>
    </r>
    <r>
      <rPr>
        <b/>
        <sz val="8"/>
        <color theme="1"/>
        <rFont val="Calibri"/>
      </rPr>
      <t xml:space="preserve"> 
NON-ALCOHOLIC BEVERAGES
</t>
    </r>
    <r>
      <rPr>
        <sz val="8"/>
        <color theme="1"/>
        <rFont val="Calibri"/>
      </rPr>
      <t xml:space="preserve">Regular and Decaf Drip Coffee, Fresh Brewed Tea &amp; Fountain Soda </t>
    </r>
    <r>
      <rPr>
        <b/>
        <sz val="8"/>
        <color theme="1"/>
        <rFont val="Calibri"/>
      </rPr>
      <t xml:space="preserve">
ALCOHOLIC BEVERAGES
N/A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</si>
</sst>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quot;$&quot;#,##0.00_);[Red]\(&quot;$&quot;#,##0.00\)"/>
    <numFmt numFmtId="165" formatCode="_(&quot;$&quot;* #,##0.00_);_(&quot;$&quot;* \(#,##0.00\);_(&quot;$&quot;* &quot;-&quot;??_);_(@_)"/>
    <numFmt numFmtId="166" formatCode="&quot;$&quot;#,##0.00"/>
    <numFmt numFmtId="167" formatCode="[$-409]h:mm\ AM/PM;@"/>
    <numFmt numFmtId="168" formatCode="yymmdd"/>
    <numFmt numFmtId="169" formatCode="[$-409]mmmm\ d\,\ yyyy;@"/>
    <numFmt numFmtId="170" formatCode="&quot;$&quot;#,##0"/>
    <numFmt numFmtId="171" formatCode="#,##0.0\ &quot;hrs&quot;"/>
    <numFmt numFmtId="172" formatCode="dddd"/>
    <numFmt numFmtId="173" formatCode="[$-F800]dddd\,\ mmmm\ dd\,\ yyyy"/>
    <numFmt numFmtId="174" formatCode="m/d/yyyy;@"/>
    <numFmt numFmtId="175" formatCode="mm/dd;@"/>
    <numFmt numFmtId="176" formatCode="#,##0.0\ &quot;hours&quot;"/>
  </numFmts>
  <fonts count="119"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rgb="FF000000"/>
      <name val="Geneva"/>
    </font>
    <font>
      <sz val="7"/>
      <color theme="1"/>
      <name val="Wingdings"/>
    </font>
    <font>
      <sz val="12"/>
      <color rgb="FF000000"/>
      <name val="Calibri"/>
    </font>
    <font>
      <sz val="12"/>
      <color theme="1"/>
      <name val="Gill Sans Light"/>
    </font>
    <font>
      <b/>
      <sz val="11.5"/>
      <color theme="1"/>
      <name val="Gill Sans"/>
    </font>
    <font>
      <b/>
      <sz val="50"/>
      <color theme="1"/>
      <name val="Gill Sans"/>
    </font>
    <font>
      <sz val="7"/>
      <color theme="1"/>
      <name val="Calibri"/>
    </font>
    <font>
      <b/>
      <sz val="7"/>
      <color rgb="FF000000"/>
      <name val="Calibri"/>
    </font>
    <font>
      <sz val="7"/>
      <color rgb="FF000000"/>
      <name val="Calibri"/>
    </font>
    <font>
      <b/>
      <sz val="7"/>
      <color theme="1"/>
      <name val="Calibri"/>
    </font>
    <font>
      <sz val="8"/>
      <color theme="1"/>
      <name val="Calibri"/>
    </font>
    <font>
      <sz val="9"/>
      <color theme="1"/>
      <name val="Calibri"/>
    </font>
    <font>
      <b/>
      <sz val="9"/>
      <color theme="1"/>
      <name val="Calibri"/>
    </font>
    <font>
      <sz val="12"/>
      <color theme="1"/>
      <name val="Calibri"/>
    </font>
    <font>
      <b/>
      <sz val="10"/>
      <color theme="1"/>
      <name val="Calibri"/>
    </font>
    <font>
      <sz val="10"/>
      <color theme="1"/>
      <name val="Calibri"/>
    </font>
    <font>
      <sz val="8"/>
      <color rgb="FF000000"/>
      <name val="Calibri"/>
    </font>
    <font>
      <b/>
      <sz val="8"/>
      <color theme="1"/>
      <name val="Calibri"/>
    </font>
    <font>
      <b/>
      <sz val="8"/>
      <color rgb="FF000000"/>
      <name val="Calibri"/>
    </font>
    <font>
      <sz val="8.5"/>
      <color theme="1"/>
      <name val="Calibri"/>
    </font>
    <font>
      <i/>
      <sz val="8"/>
      <color theme="1"/>
      <name val="Calibri"/>
    </font>
    <font>
      <b/>
      <sz val="9"/>
      <color rgb="FF000000"/>
      <name val="Calibri"/>
    </font>
    <font>
      <b/>
      <sz val="7.5"/>
      <color theme="1"/>
      <name val="Calibri"/>
    </font>
    <font>
      <b/>
      <sz val="9"/>
      <name val="Calibri"/>
    </font>
    <font>
      <sz val="7.5"/>
      <color theme="1"/>
      <name val="Calibri"/>
    </font>
    <font>
      <sz val="10"/>
      <color theme="0"/>
      <name val="Calibri"/>
    </font>
    <font>
      <sz val="6"/>
      <color theme="1"/>
      <name val="Calibri"/>
    </font>
    <font>
      <i/>
      <u/>
      <sz val="8"/>
      <color theme="1"/>
      <name val="Calibri"/>
    </font>
    <font>
      <u/>
      <sz val="8"/>
      <color theme="1"/>
      <name val="Calibri"/>
    </font>
    <font>
      <sz val="8"/>
      <color theme="0"/>
      <name val="Calibri"/>
    </font>
    <font>
      <sz val="10"/>
      <name val="Calibri"/>
    </font>
    <font>
      <sz val="10"/>
      <color rgb="FFFF0000"/>
      <name val="Calibri"/>
    </font>
    <font>
      <sz val="12"/>
      <color rgb="FFFF0000"/>
      <name val="Calibri"/>
    </font>
    <font>
      <sz val="6"/>
      <color rgb="FFFF0000"/>
      <name val="Calibri"/>
    </font>
    <font>
      <sz val="8"/>
      <color rgb="FFFF0000"/>
      <name val="Calibri"/>
    </font>
    <font>
      <sz val="8"/>
      <name val="Calibri"/>
    </font>
    <font>
      <b/>
      <sz val="10"/>
      <color theme="0"/>
      <name val="Calibri"/>
    </font>
    <font>
      <b/>
      <sz val="10"/>
      <color rgb="FFFF0000"/>
      <name val="Calibri"/>
    </font>
    <font>
      <sz val="12"/>
      <color theme="0"/>
      <name val="Calibri"/>
    </font>
    <font>
      <i/>
      <sz val="9"/>
      <color theme="1"/>
      <name val="Calibri"/>
    </font>
    <font>
      <b/>
      <sz val="10"/>
      <color rgb="FF000000"/>
      <name val="Calibri"/>
    </font>
    <font>
      <b/>
      <sz val="11"/>
      <color rgb="FF000000"/>
      <name val="Calibri"/>
    </font>
    <font>
      <b/>
      <sz val="11"/>
      <color theme="1"/>
      <name val="Calibri"/>
    </font>
    <font>
      <u/>
      <sz val="10"/>
      <color theme="10"/>
      <name val="Calibri"/>
    </font>
    <font>
      <b/>
      <sz val="9"/>
      <color rgb="FF800000"/>
      <name val="Calibri"/>
    </font>
    <font>
      <b/>
      <sz val="8"/>
      <name val="Calibri"/>
    </font>
    <font>
      <b/>
      <sz val="10"/>
      <name val="Calibri"/>
    </font>
    <font>
      <sz val="2"/>
      <color theme="0"/>
      <name val="Calibri"/>
    </font>
    <font>
      <sz val="9"/>
      <name val="Calibri"/>
    </font>
    <font>
      <sz val="8"/>
      <color theme="1" tint="0.499984740745262"/>
      <name val="Calibri"/>
    </font>
    <font>
      <sz val="7.5"/>
      <name val="Calibri"/>
    </font>
    <font>
      <b/>
      <i/>
      <sz val="9"/>
      <color theme="1"/>
      <name val="Calibri"/>
    </font>
    <font>
      <b/>
      <sz val="8"/>
      <color theme="4"/>
      <name val="Calibri"/>
    </font>
    <font>
      <sz val="12"/>
      <name val="Calibri"/>
    </font>
    <font>
      <sz val="7"/>
      <color theme="0"/>
      <name val="Calibri"/>
    </font>
    <font>
      <sz val="7"/>
      <name val="Calibri"/>
    </font>
    <font>
      <sz val="6"/>
      <color theme="0"/>
      <name val="Calibri"/>
    </font>
    <font>
      <sz val="6"/>
      <name val="Calibri"/>
    </font>
    <font>
      <b/>
      <sz val="6"/>
      <name val="Calibri"/>
    </font>
    <font>
      <i/>
      <sz val="6"/>
      <name val="Calibri"/>
    </font>
    <font>
      <b/>
      <sz val="6"/>
      <color theme="0"/>
      <name val="Calibri"/>
    </font>
    <font>
      <i/>
      <sz val="8"/>
      <name val="Calibri"/>
    </font>
    <font>
      <b/>
      <sz val="8"/>
      <color theme="0" tint="-0.499984740745262"/>
      <name val="Calibri"/>
    </font>
    <font>
      <b/>
      <sz val="8.5"/>
      <name val="Calibri"/>
    </font>
    <font>
      <b/>
      <sz val="14"/>
      <name val="Calibri"/>
    </font>
    <font>
      <sz val="10"/>
      <color rgb="FF000000"/>
      <name val="Calibri"/>
    </font>
    <font>
      <b/>
      <sz val="6"/>
      <color theme="1"/>
      <name val="Calibri"/>
    </font>
    <font>
      <b/>
      <i/>
      <sz val="8"/>
      <color theme="1"/>
      <name val="Calibri"/>
    </font>
    <font>
      <b/>
      <i/>
      <sz val="8"/>
      <color rgb="FF000000"/>
      <name val="Calibri"/>
    </font>
    <font>
      <u/>
      <sz val="9"/>
      <color rgb="FF808080"/>
      <name val="Calibri"/>
    </font>
    <font>
      <sz val="9"/>
      <color theme="0"/>
      <name val="Calibri"/>
    </font>
    <font>
      <i/>
      <sz val="8"/>
      <color rgb="FF000000"/>
      <name val="Calibri"/>
    </font>
    <font>
      <b/>
      <sz val="7.5"/>
      <color rgb="FF000000"/>
      <name val="Calibri"/>
    </font>
    <font>
      <b/>
      <sz val="6"/>
      <color rgb="FFFF0000"/>
      <name val="Calibri"/>
    </font>
    <font>
      <i/>
      <sz val="6"/>
      <color rgb="FFFF0000"/>
      <name val="Calibri"/>
    </font>
    <font>
      <i/>
      <sz val="8"/>
      <color rgb="FFFF0000"/>
      <name val="Calibri"/>
    </font>
    <font>
      <b/>
      <sz val="8"/>
      <color rgb="FFFF0000"/>
      <name val="Calibri"/>
    </font>
    <font>
      <u/>
      <sz val="8"/>
      <name val="Calibri"/>
    </font>
    <font>
      <b/>
      <sz val="14"/>
      <color theme="1"/>
      <name val="Calibri"/>
    </font>
    <font>
      <b/>
      <sz val="14"/>
      <color rgb="FF000000"/>
      <name val="Calibri"/>
    </font>
    <font>
      <i/>
      <sz val="7.5"/>
      <color theme="1"/>
      <name val="Calibri"/>
    </font>
    <font>
      <sz val="7.5"/>
      <color rgb="FF000000"/>
      <name val="Calibri"/>
    </font>
    <font>
      <i/>
      <sz val="8.5"/>
      <color theme="1"/>
      <name val="Calibri"/>
    </font>
    <font>
      <u/>
      <sz val="8.5"/>
      <name val="Calibri"/>
    </font>
    <font>
      <u/>
      <sz val="8.5"/>
      <color rgb="FF000000"/>
      <name val="Calibri"/>
    </font>
    <font>
      <u/>
      <sz val="8.5"/>
      <color theme="1"/>
      <name val="Calibri"/>
    </font>
    <font>
      <b/>
      <sz val="8.5"/>
      <color rgb="FF000000"/>
      <name val="Calibri"/>
    </font>
    <font>
      <b/>
      <sz val="8.5"/>
      <color theme="1"/>
      <name val="Calibri"/>
    </font>
    <font>
      <b/>
      <sz val="12"/>
      <name val="Calibri"/>
    </font>
    <font>
      <b/>
      <sz val="8"/>
      <color rgb="FF800000"/>
      <name val="Calibri"/>
    </font>
    <font>
      <sz val="8"/>
      <color rgb="FF800000"/>
      <name val="Calibri"/>
    </font>
    <font>
      <sz val="8"/>
      <color rgb="FF008000"/>
      <name val="Calibri"/>
    </font>
    <font>
      <b/>
      <sz val="8"/>
      <color rgb="FF008000"/>
      <name val="Calibri"/>
    </font>
    <font>
      <b/>
      <u/>
      <sz val="8"/>
      <color rgb="FF008000"/>
      <name val="Calibri"/>
    </font>
    <font>
      <b/>
      <u/>
      <sz val="8"/>
      <color rgb="FFFF0000"/>
      <name val="Calibri"/>
    </font>
    <font>
      <u/>
      <sz val="8"/>
      <color theme="10"/>
      <name val="Calibri"/>
    </font>
    <font>
      <sz val="14"/>
      <color theme="1"/>
      <name val="Calibri"/>
    </font>
    <font>
      <sz val="14"/>
      <color rgb="FF000000"/>
      <name val="Calibri"/>
    </font>
    <font>
      <sz val="12"/>
      <name val="Calibri"/>
      <family val="2"/>
      <scheme val="minor"/>
    </font>
    <font>
      <b/>
      <i/>
      <sz val="18"/>
      <name val="Calibri"/>
    </font>
    <font>
      <sz val="12"/>
      <name val="Gill Sans Light"/>
    </font>
    <font>
      <sz val="26"/>
      <name val="Calibri"/>
    </font>
    <font>
      <i/>
      <sz val="10"/>
      <name val="Calibri"/>
    </font>
    <font>
      <b/>
      <sz val="45"/>
      <color theme="1"/>
      <name val="Calibri"/>
    </font>
    <font>
      <b/>
      <sz val="45"/>
      <name val="Calibri"/>
    </font>
    <font>
      <b/>
      <sz val="14"/>
      <color rgb="FF000000"/>
      <name val="Xingkai SC Light"/>
    </font>
    <font>
      <b/>
      <sz val="31"/>
      <name val="Calibri"/>
    </font>
    <font>
      <sz val="31"/>
      <name val="Calibri"/>
    </font>
    <font>
      <b/>
      <sz val="31"/>
      <color theme="1" tint="0.34998626667073579"/>
      <name val="Calibri"/>
    </font>
    <font>
      <sz val="31"/>
      <color theme="1" tint="0.34998626667073579"/>
      <name val="Calibri"/>
    </font>
    <font>
      <b/>
      <i/>
      <sz val="31"/>
      <name val="Calibri"/>
    </font>
    <font>
      <b/>
      <sz val="31"/>
      <color theme="1" tint="0.249977111117893"/>
      <name val="Calibri"/>
    </font>
    <font>
      <sz val="31"/>
      <color theme="1"/>
      <name val="Calibri"/>
    </font>
    <font>
      <b/>
      <sz val="13"/>
      <name val="Calibri"/>
    </font>
    <font>
      <i/>
      <sz val="6"/>
      <color theme="1"/>
      <name val="Calibri"/>
    </font>
  </fonts>
  <fills count="1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F2DCDB"/>
        <bgColor rgb="FF000000"/>
      </patternFill>
    </fill>
    <fill>
      <patternFill patternType="lightUp">
        <fgColor theme="0" tint="-0.249977111117893"/>
        <bgColor indexed="65"/>
      </patternFill>
    </fill>
    <fill>
      <patternFill patternType="lightUp">
        <fgColor rgb="FFBFBFBF"/>
      </patternFill>
    </fill>
    <fill>
      <patternFill patternType="solid">
        <fgColor theme="0" tint="-4.9989318521683403E-2"/>
        <bgColor rgb="FF000000"/>
      </patternFill>
    </fill>
    <fill>
      <patternFill patternType="solid">
        <fgColor rgb="FFF2F2F2"/>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D9D9D9"/>
        <bgColor rgb="FF000000"/>
      </patternFill>
    </fill>
    <fill>
      <patternFill patternType="solid">
        <fgColor theme="0"/>
        <bgColor indexed="64"/>
      </patternFill>
    </fill>
    <fill>
      <patternFill patternType="solid">
        <fgColor theme="5" tint="0.79998168889431442"/>
        <bgColor rgb="FF000000"/>
      </patternFill>
    </fill>
    <fill>
      <patternFill patternType="solid">
        <fgColor theme="4" tint="0.79998168889431442"/>
        <bgColor indexed="64"/>
      </patternFill>
    </fill>
    <fill>
      <patternFill patternType="solid">
        <fgColor theme="4" tint="0.79998168889431442"/>
        <bgColor rgb="FF000000"/>
      </patternFill>
    </fill>
  </fills>
  <borders count="130">
    <border>
      <left/>
      <right/>
      <top/>
      <bottom/>
      <diagonal/>
    </border>
    <border>
      <left/>
      <right style="medium">
        <color auto="1"/>
      </right>
      <top/>
      <bottom/>
      <diagonal/>
    </border>
    <border>
      <left/>
      <right/>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double">
        <color auto="1"/>
      </top>
      <bottom style="thin">
        <color auto="1"/>
      </bottom>
      <diagonal/>
    </border>
    <border>
      <left/>
      <right/>
      <top style="double">
        <color auto="1"/>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auto="1"/>
      </bottom>
      <diagonal/>
    </border>
    <border>
      <left style="thin">
        <color theme="0" tint="-0.499984740745262"/>
      </left>
      <right/>
      <top style="thin">
        <color theme="0" tint="-0.499984740745262"/>
      </top>
      <bottom style="double">
        <color auto="1"/>
      </bottom>
      <diagonal/>
    </border>
    <border>
      <left/>
      <right/>
      <top style="double">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double">
        <color auto="1"/>
      </bottom>
      <diagonal/>
    </border>
    <border>
      <left style="thin">
        <color theme="0" tint="-0.499984740745262"/>
      </left>
      <right style="thin">
        <color theme="0" tint="-0.499984740745262"/>
      </right>
      <top style="double">
        <color auto="1"/>
      </top>
      <bottom style="thin">
        <color theme="0" tint="-0.499984740745262"/>
      </bottom>
      <diagonal/>
    </border>
    <border>
      <left/>
      <right style="thin">
        <color theme="0" tint="-0.499984740745262"/>
      </right>
      <top style="double">
        <color auto="1"/>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double">
        <color auto="1"/>
      </bottom>
      <diagonal/>
    </border>
    <border>
      <left/>
      <right/>
      <top style="thin">
        <color theme="0" tint="-0.499984740745262"/>
      </top>
      <bottom/>
      <diagonal/>
    </border>
    <border>
      <left/>
      <right/>
      <top style="medium">
        <color auto="1"/>
      </top>
      <bottom/>
      <diagonal/>
    </border>
    <border>
      <left style="thin">
        <color theme="0" tint="-0.499984740745262"/>
      </left>
      <right style="thin">
        <color theme="0" tint="-0.499984740745262"/>
      </right>
      <top/>
      <bottom/>
      <diagonal/>
    </border>
    <border>
      <left/>
      <right/>
      <top/>
      <bottom style="medium">
        <color auto="1"/>
      </bottom>
      <diagonal/>
    </border>
    <border>
      <left/>
      <right style="thin">
        <color theme="0" tint="-0.499984740745262"/>
      </right>
      <top style="dotted">
        <color theme="0" tint="-0.499984740745262"/>
      </top>
      <bottom/>
      <diagonal/>
    </border>
    <border>
      <left style="thin">
        <color theme="0" tint="-0.499984740745262"/>
      </left>
      <right style="thin">
        <color theme="0" tint="-0.499984740745262"/>
      </right>
      <top style="dotted">
        <color theme="0" tint="-0.499984740745262"/>
      </top>
      <bottom/>
      <diagonal/>
    </border>
    <border>
      <left/>
      <right/>
      <top style="medium">
        <color auto="1"/>
      </top>
      <bottom style="double">
        <color auto="1"/>
      </bottom>
      <diagonal/>
    </border>
    <border>
      <left/>
      <right style="thin">
        <color theme="0" tint="-0.499984740745262"/>
      </right>
      <top/>
      <bottom style="dotted">
        <color theme="0" tint="-0.499984740745262"/>
      </bottom>
      <diagonal/>
    </border>
    <border>
      <left style="thin">
        <color theme="0" tint="-0.499984740745262"/>
      </left>
      <right style="thin">
        <color theme="0" tint="-0.499984740745262"/>
      </right>
      <top/>
      <bottom style="dotted">
        <color theme="0" tint="-0.499984740745262"/>
      </bottom>
      <diagonal/>
    </border>
    <border>
      <left/>
      <right style="thin">
        <color theme="0" tint="-0.499984740745262"/>
      </right>
      <top style="double">
        <color auto="1"/>
      </top>
      <bottom style="thin">
        <color theme="1" tint="0.499984740745262"/>
      </bottom>
      <diagonal/>
    </border>
    <border>
      <left/>
      <right/>
      <top style="double">
        <color auto="1"/>
      </top>
      <bottom style="thin">
        <color theme="1" tint="0.499984740745262"/>
      </bottom>
      <diagonal/>
    </border>
    <border>
      <left/>
      <right style="thin">
        <color theme="0"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0" tint="-0.499984740745262"/>
      </right>
      <top style="thin">
        <color theme="1" tint="0.499984740745262"/>
      </top>
      <bottom style="double">
        <color auto="1"/>
      </bottom>
      <diagonal/>
    </border>
    <border>
      <left/>
      <right/>
      <top style="thin">
        <color theme="1" tint="0.499984740745262"/>
      </top>
      <bottom style="double">
        <color auto="1"/>
      </bottom>
      <diagonal/>
    </border>
    <border>
      <left style="thin">
        <color theme="1" tint="0.499984740745262"/>
      </left>
      <right style="thin">
        <color theme="0" tint="-0.499984740745262"/>
      </right>
      <top style="double">
        <color auto="1"/>
      </top>
      <bottom style="thin">
        <color theme="1" tint="0.499984740745262"/>
      </bottom>
      <diagonal/>
    </border>
    <border>
      <left style="thin">
        <color theme="0" tint="-0.499984740745262"/>
      </left>
      <right style="thin">
        <color theme="0" tint="-0.499984740745262"/>
      </right>
      <top style="double">
        <color auto="1"/>
      </top>
      <bottom style="thin">
        <color theme="1"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1" tint="0.499984740745262"/>
      </top>
      <bottom style="thin">
        <color theme="1" tint="0.499984740745262"/>
      </bottom>
      <diagonal/>
    </border>
    <border>
      <left style="thin">
        <color theme="1" tint="0.499984740745262"/>
      </left>
      <right style="thin">
        <color theme="0" tint="-0.499984740745262"/>
      </right>
      <top style="thin">
        <color theme="1" tint="0.499984740745262"/>
      </top>
      <bottom style="double">
        <color auto="1"/>
      </bottom>
      <diagonal/>
    </border>
    <border>
      <left style="thin">
        <color theme="0" tint="-0.499984740745262"/>
      </left>
      <right style="thin">
        <color theme="0" tint="-0.499984740745262"/>
      </right>
      <top style="thin">
        <color theme="1" tint="0.499984740745262"/>
      </top>
      <bottom style="double">
        <color auto="1"/>
      </bottom>
      <diagonal/>
    </border>
    <border>
      <left style="thin">
        <color theme="0" tint="-0.499984740745262"/>
      </left>
      <right/>
      <top style="double">
        <color auto="1"/>
      </top>
      <bottom style="thin">
        <color theme="1" tint="0.499984740745262"/>
      </bottom>
      <diagonal/>
    </border>
    <border>
      <left style="thin">
        <color theme="0" tint="-0.499984740745262"/>
      </left>
      <right/>
      <top style="thin">
        <color theme="1" tint="0.499984740745262"/>
      </top>
      <bottom style="thin">
        <color theme="1" tint="0.499984740745262"/>
      </bottom>
      <diagonal/>
    </border>
    <border>
      <left style="thin">
        <color theme="0" tint="-0.499984740745262"/>
      </left>
      <right/>
      <top style="thin">
        <color theme="1" tint="0.499984740745262"/>
      </top>
      <bottom style="double">
        <color auto="1"/>
      </bottom>
      <diagonal/>
    </border>
    <border>
      <left style="thin">
        <color theme="1" tint="0.499984740745262"/>
      </left>
      <right/>
      <top style="double">
        <color auto="1"/>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double">
        <color auto="1"/>
      </bottom>
      <diagonal/>
    </border>
    <border>
      <left style="thin">
        <color theme="0" tint="-0.499984740745262"/>
      </left>
      <right style="thin">
        <color theme="1" tint="0.499984740745262"/>
      </right>
      <top style="double">
        <color auto="1"/>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double">
        <color auto="1"/>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top style="thin">
        <color theme="1" tint="0.499984740745262"/>
      </top>
      <bottom style="thin">
        <color theme="0" tint="-0.499984740745262"/>
      </bottom>
      <diagonal/>
    </border>
    <border>
      <left style="thin">
        <color rgb="FF808080"/>
      </left>
      <right/>
      <top style="thin">
        <color theme="0" tint="-0.499984740745262"/>
      </top>
      <bottom style="thin">
        <color theme="0" tint="-0.499984740745262"/>
      </bottom>
      <diagonal/>
    </border>
    <border>
      <left/>
      <right style="thin">
        <color auto="1"/>
      </right>
      <top style="double">
        <color auto="1"/>
      </top>
      <bottom style="thin">
        <color auto="1"/>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0" tint="-0.499984740745262"/>
      </right>
      <top style="thin">
        <color theme="0" tint="-0.499984740745262"/>
      </top>
      <bottom/>
      <diagonal/>
    </border>
    <border>
      <left/>
      <right style="thin">
        <color theme="0" tint="-0.499984740745262"/>
      </right>
      <top/>
      <bottom style="medium">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style="thin">
        <color auto="1"/>
      </top>
      <bottom style="thin">
        <color theme="0" tint="-0.499984740745262"/>
      </bottom>
      <diagonal/>
    </border>
    <border>
      <left/>
      <right style="thin">
        <color rgb="FF000000"/>
      </right>
      <top style="thin">
        <color auto="1"/>
      </top>
      <bottom style="thin">
        <color auto="1"/>
      </bottom>
      <diagonal/>
    </border>
    <border>
      <left/>
      <right/>
      <top/>
      <bottom style="thin">
        <color theme="0" tint="-0.499984740745262"/>
      </bottom>
      <diagonal/>
    </border>
    <border>
      <left style="thin">
        <color auto="1"/>
      </left>
      <right/>
      <top style="thin">
        <color theme="1" tint="0.499984740745262"/>
      </top>
      <bottom style="thin">
        <color theme="1" tint="0.499984740745262"/>
      </bottom>
      <diagonal/>
    </border>
    <border>
      <left/>
      <right style="thin">
        <color auto="1"/>
      </right>
      <top style="thin">
        <color theme="1" tint="0.499984740745262"/>
      </top>
      <bottom style="thin">
        <color theme="1" tint="0.499984740745262"/>
      </bottom>
      <diagonal/>
    </border>
    <border>
      <left style="thin">
        <color auto="1"/>
      </left>
      <right/>
      <top style="thin">
        <color auto="1"/>
      </top>
      <bottom style="thin">
        <color theme="1" tint="0.499984740745262"/>
      </bottom>
      <diagonal/>
    </border>
    <border>
      <left/>
      <right/>
      <top style="thin">
        <color auto="1"/>
      </top>
      <bottom style="thin">
        <color theme="1" tint="0.499984740745262"/>
      </bottom>
      <diagonal/>
    </border>
    <border>
      <left/>
      <right style="thin">
        <color auto="1"/>
      </right>
      <top style="thin">
        <color auto="1"/>
      </top>
      <bottom style="thin">
        <color theme="1" tint="0.499984740745262"/>
      </bottom>
      <diagonal/>
    </border>
    <border>
      <left style="thin">
        <color auto="1"/>
      </left>
      <right/>
      <top style="thin">
        <color theme="1" tint="0.499984740745262"/>
      </top>
      <bottom style="thin">
        <color auto="1"/>
      </bottom>
      <diagonal/>
    </border>
    <border>
      <left/>
      <right/>
      <top style="thin">
        <color theme="1" tint="0.499984740745262"/>
      </top>
      <bottom style="thin">
        <color auto="1"/>
      </bottom>
      <diagonal/>
    </border>
    <border>
      <left/>
      <right style="thin">
        <color auto="1"/>
      </right>
      <top style="thin">
        <color theme="1" tint="0.499984740745262"/>
      </top>
      <bottom style="thin">
        <color auto="1"/>
      </bottom>
      <diagonal/>
    </border>
    <border>
      <left/>
      <right/>
      <top/>
      <bottom style="double">
        <color theme="1" tint="0.499984740745262"/>
      </bottom>
      <diagonal/>
    </border>
    <border>
      <left style="thin">
        <color theme="1" tint="0.499984740745262"/>
      </left>
      <right/>
      <top style="double">
        <color theme="1" tint="0.499984740745262"/>
      </top>
      <bottom style="thin">
        <color theme="1" tint="0.499984740745262"/>
      </bottom>
      <diagonal/>
    </border>
    <border>
      <left/>
      <right/>
      <top style="double">
        <color theme="1" tint="0.499984740745262"/>
      </top>
      <bottom style="thin">
        <color theme="1" tint="0.499984740745262"/>
      </bottom>
      <diagonal/>
    </border>
    <border>
      <left/>
      <right style="thin">
        <color theme="1" tint="0.499984740745262"/>
      </right>
      <top style="double">
        <color theme="1" tint="0.499984740745262"/>
      </top>
      <bottom style="thin">
        <color theme="1" tint="0.499984740745262"/>
      </bottom>
      <diagonal/>
    </border>
    <border>
      <left style="thin">
        <color theme="1" tint="0.499984740745262"/>
      </left>
      <right/>
      <top style="double">
        <color theme="1" tint="0.499984740745262"/>
      </top>
      <bottom/>
      <diagonal/>
    </border>
    <border>
      <left/>
      <right/>
      <top style="double">
        <color theme="1" tint="0.499984740745262"/>
      </top>
      <bottom/>
      <diagonal/>
    </border>
    <border>
      <left style="thin">
        <color theme="1" tint="0.499984740745262"/>
      </left>
      <right style="thin">
        <color theme="1" tint="0.499984740745262"/>
      </right>
      <top style="double">
        <color theme="1" tint="0.499984740745262"/>
      </top>
      <bottom style="thin">
        <color theme="1" tint="0.499984740745262"/>
      </bottom>
      <diagonal/>
    </border>
    <border>
      <left/>
      <right style="thin">
        <color theme="1" tint="0.499984740745262"/>
      </right>
      <top/>
      <bottom style="double">
        <color theme="1" tint="0.499984740745262"/>
      </bottom>
      <diagonal/>
    </border>
    <border>
      <left style="thin">
        <color theme="1" tint="0.499984740745262"/>
      </left>
      <right style="thin">
        <color theme="1" tint="0.499984740745262"/>
      </right>
      <top/>
      <bottom style="double">
        <color theme="1" tint="0.499984740745262"/>
      </bottom>
      <diagonal/>
    </border>
    <border>
      <left style="thin">
        <color theme="1" tint="0.499984740745262"/>
      </left>
      <right/>
      <top/>
      <bottom style="double">
        <color theme="1" tint="0.499984740745262"/>
      </bottom>
      <diagonal/>
    </border>
    <border>
      <left style="thin">
        <color theme="0" tint="-0.499984740745262"/>
      </left>
      <right style="thin">
        <color theme="0" tint="-0.499984740745262"/>
      </right>
      <top style="thin">
        <color theme="0" tint="-0.499984740745262"/>
      </top>
      <bottom style="thin">
        <color theme="1" tint="0.499984740745262"/>
      </bottom>
      <diagonal/>
    </border>
    <border>
      <left style="thin">
        <color theme="0" tint="-0.499984740745262"/>
      </left>
      <right/>
      <top style="thin">
        <color theme="0" tint="-0.499984740745262"/>
      </top>
      <bottom style="thin">
        <color theme="1" tint="0.499984740745262"/>
      </bottom>
      <diagonal/>
    </border>
    <border>
      <left style="thin">
        <color theme="1"/>
      </left>
      <right/>
      <top style="thin">
        <color theme="1"/>
      </top>
      <bottom style="thin">
        <color theme="1" tint="0.499984740745262"/>
      </bottom>
      <diagonal/>
    </border>
    <border>
      <left/>
      <right/>
      <top style="thin">
        <color theme="1"/>
      </top>
      <bottom style="thin">
        <color theme="1" tint="0.499984740745262"/>
      </bottom>
      <diagonal/>
    </border>
    <border>
      <left/>
      <right style="thin">
        <color theme="1"/>
      </right>
      <top style="thin">
        <color theme="1"/>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theme="1" tint="0.499984740745262"/>
      </left>
      <right/>
      <top/>
      <bottom/>
      <diagonal/>
    </border>
    <border>
      <left/>
      <right style="thin">
        <color theme="1" tint="0.499984740745262"/>
      </right>
      <top style="double">
        <color theme="1" tint="0.499984740745262"/>
      </top>
      <bottom/>
      <diagonal/>
    </border>
    <border>
      <left style="hair">
        <color theme="0" tint="-0.499984740745262"/>
      </left>
      <right/>
      <top/>
      <bottom/>
      <diagonal/>
    </border>
    <border>
      <left style="hair">
        <color theme="0" tint="-0.499984740745262"/>
      </left>
      <right/>
      <top/>
      <bottom style="thin">
        <color theme="1" tint="0.499984740745262"/>
      </bottom>
      <diagonal/>
    </border>
    <border>
      <left/>
      <right style="hair">
        <color theme="0" tint="-0.499984740745262"/>
      </right>
      <top/>
      <bottom style="thin">
        <color theme="1" tint="0.499984740745262"/>
      </bottom>
      <diagonal/>
    </border>
    <border>
      <left/>
      <right/>
      <top style="thin">
        <color theme="1" tint="0.499984740745262"/>
      </top>
      <bottom/>
      <diagonal/>
    </border>
    <border>
      <left/>
      <right style="thin">
        <color theme="1" tint="0.499984740745262"/>
      </right>
      <top style="thin">
        <color auto="1"/>
      </top>
      <bottom style="thin">
        <color theme="0" tint="-0.499984740745262"/>
      </bottom>
      <diagonal/>
    </border>
    <border>
      <left style="thin">
        <color theme="1" tint="0.499984740745262"/>
      </left>
      <right style="thin">
        <color theme="1" tint="0.499984740745262"/>
      </right>
      <top style="thin">
        <color auto="1"/>
      </top>
      <bottom style="thin">
        <color theme="0" tint="-0.499984740745262"/>
      </bottom>
      <diagonal/>
    </border>
    <border>
      <left style="thin">
        <color theme="1" tint="0.499984740745262"/>
      </left>
      <right style="thin">
        <color theme="0" tint="-0.499984740745262"/>
      </right>
      <top style="thin">
        <color auto="1"/>
      </top>
      <bottom style="thin">
        <color theme="0" tint="-0.499984740745262"/>
      </bottom>
      <diagonal/>
    </border>
    <border>
      <left/>
      <right style="thin">
        <color theme="1" tint="0.499984740745262"/>
      </right>
      <top style="thin">
        <color theme="0" tint="-0.499984740745262"/>
      </top>
      <bottom style="double">
        <color auto="1"/>
      </bottom>
      <diagonal/>
    </border>
    <border>
      <left style="thin">
        <color theme="1" tint="0.499984740745262"/>
      </left>
      <right style="thin">
        <color theme="1" tint="0.499984740745262"/>
      </right>
      <top style="thin">
        <color theme="0" tint="-0.499984740745262"/>
      </top>
      <bottom style="double">
        <color auto="1"/>
      </bottom>
      <diagonal/>
    </border>
    <border>
      <left style="thin">
        <color theme="1" tint="0.499984740745262"/>
      </left>
      <right style="thin">
        <color theme="0" tint="-0.499984740745262"/>
      </right>
      <top style="thin">
        <color theme="0" tint="-0.499984740745262"/>
      </top>
      <bottom style="double">
        <color auto="1"/>
      </bottom>
      <diagonal/>
    </border>
    <border>
      <left style="thin">
        <color auto="1"/>
      </left>
      <right/>
      <top style="double">
        <color theme="1" tint="0.499984740745262"/>
      </top>
      <bottom style="thin">
        <color theme="1" tint="0.499984740745262"/>
      </bottom>
      <diagonal/>
    </border>
    <border>
      <left style="thin">
        <color theme="0" tint="-0.499984740745262"/>
      </left>
      <right/>
      <top/>
      <bottom style="thin">
        <color theme="1" tint="0.499984740745262"/>
      </bottom>
      <diagonal/>
    </border>
  </borders>
  <cellStyleXfs count="134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040">
    <xf numFmtId="0" fontId="0" fillId="0" borderId="0" xfId="0"/>
    <xf numFmtId="0" fontId="0" fillId="0" borderId="0" xfId="0" applyProtection="1"/>
    <xf numFmtId="0" fontId="0" fillId="0" borderId="0" xfId="0" applyAlignment="1">
      <alignment horizontal="center"/>
    </xf>
    <xf numFmtId="0" fontId="0" fillId="0" borderId="0" xfId="0" applyFont="1"/>
    <xf numFmtId="0" fontId="0" fillId="0" borderId="0" xfId="0" applyFont="1" applyBorder="1"/>
    <xf numFmtId="49" fontId="7" fillId="0" borderId="0" xfId="0" applyNumberFormat="1" applyFont="1" applyBorder="1" applyAlignment="1">
      <alignment vertical="center" wrapText="1" shrinkToFit="1"/>
    </xf>
    <xf numFmtId="165" fontId="9" fillId="0" borderId="0" xfId="0" applyNumberFormat="1" applyFont="1" applyAlignment="1">
      <alignment shrinkToFit="1"/>
    </xf>
    <xf numFmtId="0" fontId="17" fillId="0" borderId="0" xfId="0" applyFont="1"/>
    <xf numFmtId="0" fontId="17" fillId="0" borderId="0" xfId="0" applyFont="1" applyAlignment="1" applyProtection="1">
      <alignment vertical="center"/>
    </xf>
    <xf numFmtId="0" fontId="15" fillId="0" borderId="0" xfId="0" applyFont="1" applyAlignment="1" applyProtection="1">
      <alignment vertical="center"/>
    </xf>
    <xf numFmtId="0" fontId="17" fillId="0" borderId="0" xfId="0" applyFont="1" applyProtection="1"/>
    <xf numFmtId="0" fontId="15" fillId="0" borderId="0" xfId="0" applyFont="1" applyProtection="1"/>
    <xf numFmtId="0" fontId="19" fillId="0" borderId="0" xfId="0" applyFont="1" applyAlignment="1" applyProtection="1">
      <alignment vertical="center"/>
    </xf>
    <xf numFmtId="0" fontId="30" fillId="0" borderId="0" xfId="0" applyFont="1" applyAlignment="1" applyProtection="1">
      <alignment vertical="center"/>
    </xf>
    <xf numFmtId="0" fontId="30" fillId="0" borderId="0" xfId="0" applyFont="1" applyBorder="1" applyAlignment="1" applyProtection="1">
      <alignment vertical="center"/>
    </xf>
    <xf numFmtId="0" fontId="18" fillId="0" borderId="0" xfId="0" applyFont="1" applyBorder="1" applyAlignment="1" applyProtection="1">
      <alignment vertical="center"/>
    </xf>
    <xf numFmtId="0" fontId="19" fillId="0" borderId="0" xfId="0" applyFont="1" applyBorder="1" applyAlignment="1" applyProtection="1">
      <alignment horizontal="center" vertical="center"/>
    </xf>
    <xf numFmtId="0" fontId="19" fillId="0" borderId="0" xfId="0" applyFont="1" applyBorder="1" applyAlignment="1" applyProtection="1">
      <alignment vertical="center"/>
    </xf>
    <xf numFmtId="0" fontId="15" fillId="0" borderId="0" xfId="0" applyFont="1" applyAlignment="1" applyProtection="1">
      <alignment horizontal="left" vertical="center"/>
    </xf>
    <xf numFmtId="0" fontId="14" fillId="0" borderId="0" xfId="0" applyFont="1" applyAlignment="1" applyProtection="1">
      <alignment horizontal="left" wrapText="1"/>
    </xf>
    <xf numFmtId="0" fontId="14" fillId="0" borderId="0" xfId="0" applyFont="1" applyBorder="1" applyAlignment="1" applyProtection="1">
      <alignment horizontal="left" wrapText="1"/>
    </xf>
    <xf numFmtId="0" fontId="17" fillId="0" borderId="0" xfId="0" applyFont="1" applyAlignment="1" applyProtection="1">
      <alignment horizontal="left"/>
    </xf>
    <xf numFmtId="0" fontId="14" fillId="0" borderId="0" xfId="0" applyFont="1" applyAlignment="1" applyProtection="1"/>
    <xf numFmtId="0" fontId="14" fillId="0" borderId="0" xfId="0" applyFont="1" applyProtection="1"/>
    <xf numFmtId="0" fontId="21" fillId="0" borderId="0" xfId="0" applyFont="1" applyAlignment="1" applyProtection="1">
      <alignment vertical="center"/>
    </xf>
    <xf numFmtId="0" fontId="14" fillId="0" borderId="87" xfId="0" applyFont="1" applyBorder="1" applyAlignment="1" applyProtection="1">
      <alignment wrapText="1"/>
    </xf>
    <xf numFmtId="0" fontId="14" fillId="0" borderId="0" xfId="0" applyFont="1" applyAlignment="1" applyProtection="1">
      <alignment wrapText="1"/>
    </xf>
    <xf numFmtId="0" fontId="24" fillId="0" borderId="0" xfId="0" applyFont="1" applyAlignment="1" applyProtection="1">
      <alignment horizontal="left" wrapText="1"/>
    </xf>
    <xf numFmtId="0" fontId="14" fillId="0" borderId="0" xfId="0" applyFont="1" applyAlignment="1" applyProtection="1">
      <alignment vertical="center"/>
    </xf>
    <xf numFmtId="0" fontId="15" fillId="0" borderId="0" xfId="0" applyFont="1" applyAlignment="1" applyProtection="1">
      <alignment vertical="top"/>
    </xf>
    <xf numFmtId="0" fontId="14" fillId="0" borderId="0" xfId="0" quotePrefix="1"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14" fillId="0" borderId="0" xfId="0" applyFont="1" applyBorder="1" applyAlignment="1" applyProtection="1">
      <alignment horizontal="center" vertical="top"/>
    </xf>
    <xf numFmtId="0" fontId="14" fillId="0" borderId="0" xfId="0" applyFont="1" applyAlignment="1" applyProtection="1">
      <alignment vertical="top"/>
    </xf>
    <xf numFmtId="0" fontId="17" fillId="0" borderId="0" xfId="0" applyFont="1" applyBorder="1" applyProtection="1"/>
    <xf numFmtId="0" fontId="14" fillId="0" borderId="0" xfId="0" applyFont="1" applyBorder="1" applyProtection="1"/>
    <xf numFmtId="0" fontId="15" fillId="0" borderId="0" xfId="0" applyFont="1" applyAlignment="1" applyProtection="1">
      <alignment vertical="center" wrapText="1"/>
    </xf>
    <xf numFmtId="0" fontId="17" fillId="0" borderId="0" xfId="0" applyFont="1" applyAlignment="1" applyProtection="1">
      <alignment horizontal="center" vertical="center"/>
    </xf>
    <xf numFmtId="0" fontId="17" fillId="0" borderId="0" xfId="0" applyFont="1" applyAlignment="1">
      <alignment horizontal="center" vertical="center"/>
    </xf>
    <xf numFmtId="0" fontId="24" fillId="0" borderId="0" xfId="0" applyFont="1" applyBorder="1" applyAlignment="1" applyProtection="1">
      <alignment shrinkToFit="1"/>
    </xf>
    <xf numFmtId="0" fontId="30" fillId="0" borderId="0" xfId="0" applyFont="1" applyAlignment="1" applyProtection="1">
      <alignment shrinkToFit="1"/>
    </xf>
    <xf numFmtId="0" fontId="30" fillId="0" borderId="0" xfId="0" applyFont="1" applyAlignment="1" applyProtection="1">
      <alignment vertical="center" shrinkToFit="1"/>
    </xf>
    <xf numFmtId="0" fontId="30" fillId="0" borderId="0" xfId="0" applyFont="1" applyAlignment="1" applyProtection="1">
      <alignment horizontal="left" vertical="center" shrinkToFit="1"/>
    </xf>
    <xf numFmtId="0" fontId="30" fillId="0" borderId="0" xfId="0" applyFont="1" applyBorder="1" applyAlignment="1" applyProtection="1">
      <alignment shrinkToFit="1"/>
    </xf>
    <xf numFmtId="0" fontId="10" fillId="0" borderId="0" xfId="0" applyFont="1" applyProtection="1"/>
    <xf numFmtId="0" fontId="10" fillId="0" borderId="101" xfId="0" applyFont="1" applyBorder="1" applyProtection="1"/>
    <xf numFmtId="0" fontId="10" fillId="0" borderId="0" xfId="0" applyFont="1" applyBorder="1" applyProtection="1"/>
    <xf numFmtId="0" fontId="10" fillId="0" borderId="78" xfId="0" applyFont="1" applyBorder="1" applyAlignment="1" applyProtection="1">
      <alignment horizontal="center" vertical="center"/>
    </xf>
    <xf numFmtId="0" fontId="19" fillId="0" borderId="0" xfId="0" applyFont="1" applyAlignment="1" applyProtection="1">
      <alignment horizontal="center" vertical="center"/>
    </xf>
    <xf numFmtId="0" fontId="18" fillId="0" borderId="0" xfId="0" applyFont="1" applyBorder="1" applyAlignment="1" applyProtection="1">
      <alignment horizontal="center" vertical="center"/>
    </xf>
    <xf numFmtId="0" fontId="47" fillId="0" borderId="0" xfId="1" applyFont="1" applyBorder="1" applyAlignment="1" applyProtection="1">
      <alignment vertical="center"/>
    </xf>
    <xf numFmtId="0" fontId="16" fillId="0" borderId="0" xfId="0" applyFont="1" applyFill="1" applyBorder="1" applyAlignment="1" applyProtection="1">
      <alignment vertical="center" shrinkToFit="1"/>
    </xf>
    <xf numFmtId="0" fontId="15" fillId="0" borderId="0" xfId="0" applyFont="1" applyFill="1" applyBorder="1" applyProtection="1"/>
    <xf numFmtId="0" fontId="48" fillId="0" borderId="0" xfId="0" applyFont="1" applyFill="1" applyBorder="1" applyAlignment="1" applyProtection="1">
      <alignment vertical="center" shrinkToFit="1"/>
    </xf>
    <xf numFmtId="0" fontId="17" fillId="0" borderId="0" xfId="0" applyFont="1" applyBorder="1" applyAlignment="1" applyProtection="1">
      <alignment horizontal="center"/>
    </xf>
    <xf numFmtId="0" fontId="17" fillId="0" borderId="0" xfId="0" applyFont="1" applyFill="1" applyBorder="1" applyAlignment="1" applyProtection="1">
      <alignment horizontal="center" vertical="center"/>
    </xf>
    <xf numFmtId="0" fontId="19" fillId="0" borderId="0" xfId="0" applyFont="1" applyAlignment="1" applyProtection="1">
      <alignment horizontal="left" vertical="center"/>
    </xf>
    <xf numFmtId="0" fontId="21" fillId="0" borderId="0" xfId="0" applyFont="1" applyAlignment="1" applyProtection="1">
      <alignment horizontal="center" vertical="center"/>
    </xf>
    <xf numFmtId="0" fontId="29" fillId="0" borderId="0" xfId="0" applyFont="1" applyAlignment="1" applyProtection="1">
      <alignment vertical="center"/>
    </xf>
    <xf numFmtId="0" fontId="17" fillId="0" borderId="0" xfId="0" applyFont="1" applyProtection="1">
      <protection hidden="1"/>
    </xf>
    <xf numFmtId="0" fontId="19" fillId="0" borderId="0" xfId="0" applyFont="1" applyAlignment="1" applyProtection="1">
      <alignment vertical="center"/>
      <protection hidden="1"/>
    </xf>
    <xf numFmtId="0" fontId="18" fillId="0" borderId="0" xfId="0" applyFont="1" applyAlignment="1" applyProtection="1">
      <alignment vertical="center"/>
    </xf>
    <xf numFmtId="0" fontId="34" fillId="0" borderId="0" xfId="0" applyFont="1" applyAlignment="1" applyProtection="1">
      <alignment horizontal="left" vertical="center"/>
    </xf>
    <xf numFmtId="0" fontId="54" fillId="0" borderId="0" xfId="0" applyFont="1" applyAlignment="1" applyProtection="1">
      <alignment vertical="center"/>
    </xf>
    <xf numFmtId="0" fontId="28" fillId="0" borderId="0" xfId="0" applyFont="1" applyProtection="1"/>
    <xf numFmtId="0" fontId="28" fillId="0" borderId="0" xfId="0" applyFont="1" applyAlignment="1" applyProtection="1">
      <alignment vertical="center"/>
    </xf>
    <xf numFmtId="0" fontId="57" fillId="0" borderId="0" xfId="0" applyFont="1" applyProtection="1"/>
    <xf numFmtId="0" fontId="17" fillId="0" borderId="0" xfId="0" applyFont="1" applyFill="1" applyProtection="1"/>
    <xf numFmtId="0" fontId="19" fillId="0" borderId="0" xfId="0" applyFont="1" applyFill="1" applyAlignment="1" applyProtection="1">
      <alignment vertical="center"/>
    </xf>
    <xf numFmtId="0" fontId="18" fillId="0" borderId="96" xfId="0" applyFont="1" applyBorder="1" applyAlignment="1" applyProtection="1">
      <alignment vertical="center"/>
    </xf>
    <xf numFmtId="0" fontId="19" fillId="0" borderId="0" xfId="0" applyFont="1" applyAlignment="1" applyProtection="1">
      <alignment horizontal="center" vertical="center"/>
    </xf>
    <xf numFmtId="0" fontId="10" fillId="0" borderId="0" xfId="0" applyFont="1" applyAlignment="1" applyProtection="1">
      <alignment vertical="center"/>
    </xf>
    <xf numFmtId="0" fontId="57" fillId="0" borderId="0" xfId="0" applyFont="1"/>
    <xf numFmtId="0" fontId="50" fillId="0" borderId="0" xfId="0" applyFont="1" applyFill="1" applyBorder="1" applyAlignment="1" applyProtection="1">
      <alignment vertical="center" shrinkToFit="1"/>
    </xf>
    <xf numFmtId="0" fontId="69" fillId="0" borderId="0" xfId="0" applyFont="1" applyAlignment="1" applyProtection="1">
      <alignment vertical="center"/>
    </xf>
    <xf numFmtId="0" fontId="19" fillId="0" borderId="0" xfId="0" applyFont="1" applyProtection="1"/>
    <xf numFmtId="0" fontId="29" fillId="0" borderId="0" xfId="0" applyFont="1" applyProtection="1"/>
    <xf numFmtId="0" fontId="14" fillId="0" borderId="0" xfId="0" applyFont="1" applyAlignment="1" applyProtection="1">
      <alignment horizontal="center" vertical="center"/>
    </xf>
    <xf numFmtId="0" fontId="14" fillId="0" borderId="0" xfId="0" applyFont="1" applyBorder="1" applyAlignment="1" applyProtection="1">
      <alignment horizontal="center"/>
    </xf>
    <xf numFmtId="0" fontId="15" fillId="0" borderId="0" xfId="0" applyFont="1" applyBorder="1" applyAlignment="1" applyProtection="1">
      <alignment horizontal="center"/>
    </xf>
    <xf numFmtId="0" fontId="16" fillId="0" borderId="0" xfId="0" applyFont="1" applyBorder="1" applyAlignment="1" applyProtection="1">
      <alignment horizontal="center"/>
    </xf>
    <xf numFmtId="0" fontId="15" fillId="0" borderId="0" xfId="0" applyFont="1" applyAlignment="1" applyProtection="1">
      <alignment horizontal="center" vertical="center"/>
    </xf>
    <xf numFmtId="0" fontId="16" fillId="0" borderId="0" xfId="0" applyFont="1" applyAlignment="1" applyProtection="1">
      <alignment horizontal="center" vertical="center"/>
    </xf>
    <xf numFmtId="0" fontId="50" fillId="0" borderId="0" xfId="0" applyFont="1" applyFill="1" applyBorder="1" applyAlignment="1" applyProtection="1">
      <alignment shrinkToFit="1"/>
    </xf>
    <xf numFmtId="0" fontId="19" fillId="0" borderId="0" xfId="0" applyFont="1" applyAlignment="1" applyProtection="1"/>
    <xf numFmtId="0" fontId="15" fillId="0" borderId="0" xfId="0" applyFont="1" applyFill="1" applyBorder="1" applyAlignment="1" applyProtection="1">
      <alignment horizontal="center" vertical="center"/>
    </xf>
    <xf numFmtId="0" fontId="15" fillId="0" borderId="96" xfId="0" applyFont="1" applyBorder="1" applyAlignment="1" applyProtection="1">
      <alignment vertical="center"/>
    </xf>
    <xf numFmtId="0" fontId="15" fillId="0" borderId="0" xfId="0" applyFont="1" applyBorder="1" applyAlignment="1" applyProtection="1">
      <alignment vertical="center"/>
    </xf>
    <xf numFmtId="0" fontId="15" fillId="0" borderId="96" xfId="0" applyFont="1" applyBorder="1" applyProtection="1"/>
    <xf numFmtId="0" fontId="14" fillId="0" borderId="0" xfId="0" applyFont="1" applyAlignment="1" applyProtection="1">
      <alignment vertical="center" wrapText="1"/>
    </xf>
    <xf numFmtId="0" fontId="14" fillId="0" borderId="0" xfId="0" applyFont="1" applyAlignment="1" applyProtection="1">
      <alignment horizontal="left" vertical="center" wrapText="1"/>
    </xf>
    <xf numFmtId="0" fontId="31" fillId="0" borderId="0" xfId="0" applyFont="1" applyAlignment="1" applyProtection="1">
      <alignment vertical="center" wrapText="1"/>
    </xf>
    <xf numFmtId="0" fontId="19" fillId="0" borderId="0" xfId="0" applyFont="1" applyBorder="1" applyAlignment="1" applyProtection="1">
      <alignment horizontal="center" vertical="center"/>
    </xf>
    <xf numFmtId="0" fontId="17" fillId="0" borderId="0" xfId="0" applyFont="1" applyBorder="1" applyAlignment="1" applyProtection="1">
      <alignment horizontal="center"/>
    </xf>
    <xf numFmtId="0" fontId="19" fillId="0" borderId="0" xfId="0" applyFont="1" applyAlignment="1" applyProtection="1">
      <alignment horizontal="center" vertical="center"/>
    </xf>
    <xf numFmtId="0" fontId="21" fillId="0" borderId="78" xfId="0" applyFont="1" applyBorder="1" applyAlignment="1" applyProtection="1">
      <alignment horizontal="center" vertical="center"/>
    </xf>
    <xf numFmtId="0" fontId="21" fillId="0" borderId="54" xfId="0" applyFont="1" applyBorder="1" applyAlignment="1" applyProtection="1">
      <alignment horizontal="center" vertical="center"/>
    </xf>
    <xf numFmtId="0" fontId="13" fillId="0" borderId="0" xfId="0" applyFont="1" applyAlignment="1" applyProtection="1">
      <alignment horizontal="center" vertical="center"/>
    </xf>
    <xf numFmtId="0" fontId="21" fillId="0" borderId="0" xfId="0" applyFont="1" applyFill="1" applyBorder="1" applyAlignment="1" applyProtection="1">
      <alignment horizontal="center" vertical="center"/>
    </xf>
    <xf numFmtId="0" fontId="28" fillId="0" borderId="0" xfId="0" applyFont="1" applyAlignment="1">
      <alignment horizontal="center" vertical="center"/>
    </xf>
    <xf numFmtId="169" fontId="76"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166" fontId="26" fillId="0" borderId="0" xfId="0" applyNumberFormat="1" applyFont="1" applyFill="1" applyBorder="1" applyAlignment="1" applyProtection="1">
      <alignment horizontal="center" vertical="center"/>
    </xf>
    <xf numFmtId="0" fontId="27" fillId="2" borderId="12" xfId="0" applyFont="1" applyFill="1" applyBorder="1" applyAlignment="1" applyProtection="1">
      <alignment vertical="center" shrinkToFit="1"/>
    </xf>
    <xf numFmtId="0" fontId="14" fillId="0" borderId="0" xfId="0" applyFont="1" applyBorder="1" applyAlignment="1" applyProtection="1">
      <alignment vertical="center"/>
    </xf>
    <xf numFmtId="0" fontId="102" fillId="0" borderId="2" xfId="0" applyFont="1" applyBorder="1" applyAlignment="1"/>
    <xf numFmtId="0" fontId="102" fillId="0" borderId="0" xfId="0" applyFont="1" applyAlignment="1"/>
    <xf numFmtId="0" fontId="102" fillId="0" borderId="0" xfId="0" applyFont="1"/>
    <xf numFmtId="0" fontId="102" fillId="0" borderId="0" xfId="0" applyFont="1" applyBorder="1" applyAlignment="1"/>
    <xf numFmtId="49" fontId="104" fillId="0" borderId="0" xfId="0" applyNumberFormat="1" applyFont="1" applyBorder="1" applyAlignment="1">
      <alignment vertical="center" wrapText="1" shrinkToFit="1"/>
    </xf>
    <xf numFmtId="0" fontId="102" fillId="0" borderId="0" xfId="0" applyFont="1" applyBorder="1"/>
    <xf numFmtId="0" fontId="14" fillId="0" borderId="0" xfId="0" applyFont="1" applyBorder="1" applyAlignment="1" applyProtection="1">
      <alignment horizontal="left" indent="1"/>
    </xf>
    <xf numFmtId="0" fontId="19" fillId="0" borderId="0" xfId="0" applyFont="1" applyAlignment="1" applyProtection="1">
      <alignment vertical="center" shrinkToFit="1"/>
    </xf>
    <xf numFmtId="0" fontId="14" fillId="0" borderId="0" xfId="0" applyFont="1" applyAlignment="1" applyProtection="1">
      <alignment horizontal="left" indent="1"/>
    </xf>
    <xf numFmtId="0" fontId="13" fillId="0" borderId="0" xfId="0" applyFont="1" applyFill="1" applyBorder="1" applyAlignment="1" applyProtection="1">
      <alignment horizontal="center" vertical="center"/>
    </xf>
    <xf numFmtId="0" fontId="23"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shrinkToFit="1"/>
    </xf>
    <xf numFmtId="14" fontId="13" fillId="0" borderId="0" xfId="0" applyNumberFormat="1" applyFont="1" applyFill="1" applyBorder="1" applyAlignment="1" applyProtection="1">
      <alignment horizontal="center" vertical="center" shrinkToFit="1"/>
    </xf>
    <xf numFmtId="14" fontId="13" fillId="0" borderId="0" xfId="0" applyNumberFormat="1" applyFont="1" applyBorder="1" applyAlignment="1" applyProtection="1">
      <alignment horizontal="center" vertical="center"/>
    </xf>
    <xf numFmtId="0" fontId="18" fillId="0" borderId="79" xfId="0" applyFont="1" applyBorder="1" applyAlignment="1" applyProtection="1">
      <alignment horizontal="center" vertical="center"/>
    </xf>
    <xf numFmtId="0" fontId="49" fillId="0" borderId="72" xfId="0" applyNumberFormat="1" applyFont="1" applyBorder="1" applyAlignment="1" applyProtection="1">
      <alignment horizontal="center" vertical="center"/>
    </xf>
    <xf numFmtId="14" fontId="21" fillId="0" borderId="0" xfId="0" applyNumberFormat="1" applyFont="1" applyFill="1" applyBorder="1" applyAlignment="1" applyProtection="1">
      <alignment horizontal="center" vertical="center" shrinkToFit="1"/>
    </xf>
    <xf numFmtId="0" fontId="21" fillId="0" borderId="0" xfId="0" applyFont="1" applyBorder="1" applyAlignment="1" applyProtection="1">
      <alignment horizontal="center" vertical="center"/>
    </xf>
    <xf numFmtId="0" fontId="71" fillId="0" borderId="0" xfId="0" applyFont="1" applyAlignment="1" applyProtection="1">
      <alignment vertical="center"/>
    </xf>
    <xf numFmtId="0" fontId="19" fillId="0" borderId="96" xfId="0" applyFont="1" applyBorder="1" applyAlignment="1" applyProtection="1">
      <alignment vertical="center"/>
    </xf>
    <xf numFmtId="14" fontId="13" fillId="0" borderId="116" xfId="0" applyNumberFormat="1" applyFont="1" applyFill="1" applyBorder="1" applyAlignment="1" applyProtection="1">
      <alignment vertical="center" shrinkToFit="1"/>
    </xf>
    <xf numFmtId="14" fontId="13" fillId="0" borderId="0" xfId="0" applyNumberFormat="1" applyFont="1" applyFill="1" applyBorder="1" applyAlignment="1" applyProtection="1">
      <alignment vertical="center" shrinkToFit="1"/>
    </xf>
    <xf numFmtId="0" fontId="49" fillId="0" borderId="0" xfId="0" applyNumberFormat="1" applyFont="1" applyAlignment="1" applyProtection="1">
      <alignment horizontal="center" vertical="center"/>
    </xf>
    <xf numFmtId="0" fontId="49" fillId="0" borderId="0" xfId="0" applyNumberFormat="1" applyFont="1" applyAlignment="1" applyProtection="1">
      <alignment vertical="center"/>
    </xf>
    <xf numFmtId="0" fontId="18" fillId="0" borderId="0" xfId="0" applyFont="1" applyBorder="1" applyAlignment="1" applyProtection="1">
      <alignment horizontal="left" wrapText="1"/>
    </xf>
    <xf numFmtId="0" fontId="30" fillId="0" borderId="0" xfId="0" applyFont="1" applyBorder="1" applyAlignment="1" applyProtection="1">
      <alignment horizontal="center" vertical="center"/>
    </xf>
    <xf numFmtId="0" fontId="70" fillId="0" borderId="0" xfId="0" applyFont="1" applyFill="1" applyBorder="1" applyAlignment="1" applyProtection="1">
      <alignment horizontal="center" vertical="center"/>
    </xf>
    <xf numFmtId="0" fontId="30" fillId="0" borderId="0" xfId="0" applyFont="1" applyProtection="1"/>
    <xf numFmtId="0" fontId="60" fillId="0" borderId="0" xfId="0" applyFont="1" applyBorder="1" applyAlignment="1" applyProtection="1">
      <alignment horizontal="center" vertical="center"/>
    </xf>
    <xf numFmtId="0" fontId="30" fillId="0" borderId="0" xfId="0" applyFont="1" applyFill="1" applyBorder="1" applyAlignment="1" applyProtection="1">
      <alignment horizontal="center" vertical="center"/>
    </xf>
    <xf numFmtId="0" fontId="21" fillId="0" borderId="78" xfId="0" applyFont="1" applyBorder="1" applyAlignment="1" applyProtection="1">
      <alignment vertical="center"/>
    </xf>
    <xf numFmtId="0" fontId="14" fillId="0" borderId="78" xfId="0" applyFont="1" applyBorder="1" applyAlignment="1" applyProtection="1">
      <alignment vertical="center"/>
    </xf>
    <xf numFmtId="0" fontId="30" fillId="0" borderId="78" xfId="0" applyFont="1" applyBorder="1" applyAlignment="1" applyProtection="1">
      <alignment vertical="center"/>
    </xf>
    <xf numFmtId="0" fontId="19" fillId="0" borderId="0" xfId="0" applyFont="1" applyFill="1" applyBorder="1" applyAlignment="1" applyProtection="1">
      <alignment vertical="center"/>
    </xf>
    <xf numFmtId="0" fontId="26" fillId="0" borderId="0" xfId="0" applyFont="1" applyFill="1" applyBorder="1" applyAlignment="1" applyProtection="1">
      <alignment vertical="center" shrinkToFit="1"/>
    </xf>
    <xf numFmtId="0" fontId="46" fillId="0" borderId="0" xfId="0" applyFont="1" applyAlignment="1" applyProtection="1">
      <alignment vertical="center"/>
    </xf>
    <xf numFmtId="0" fontId="46" fillId="0" borderId="0" xfId="0" applyFont="1" applyAlignment="1" applyProtection="1"/>
    <xf numFmtId="0" fontId="15" fillId="0" borderId="0" xfId="0" applyFont="1" applyBorder="1" applyAlignment="1" applyProtection="1">
      <alignment horizontal="center" vertical="center"/>
    </xf>
    <xf numFmtId="0" fontId="15" fillId="0" borderId="96" xfId="0" applyFont="1" applyBorder="1" applyAlignment="1" applyProtection="1"/>
    <xf numFmtId="0" fontId="15" fillId="0" borderId="0" xfId="0" applyFont="1" applyAlignment="1" applyProtection="1"/>
    <xf numFmtId="0" fontId="26" fillId="0" borderId="0" xfId="0" applyFont="1" applyAlignment="1" applyProtection="1">
      <alignment horizontal="center" vertical="center"/>
    </xf>
    <xf numFmtId="0" fontId="26" fillId="0" borderId="0" xfId="0" applyFont="1" applyBorder="1" applyAlignment="1" applyProtection="1">
      <alignment horizontal="center" vertical="center"/>
    </xf>
    <xf numFmtId="0" fontId="74" fillId="0" borderId="0" xfId="0" applyFont="1" applyAlignment="1" applyProtection="1">
      <alignment vertical="center"/>
    </xf>
    <xf numFmtId="0" fontId="14" fillId="0" borderId="0" xfId="0" applyFont="1" applyAlignment="1" applyProtection="1">
      <alignment shrinkToFit="1"/>
    </xf>
    <xf numFmtId="0" fontId="57" fillId="0" borderId="2" xfId="0" applyFont="1" applyBorder="1" applyAlignment="1"/>
    <xf numFmtId="0" fontId="57" fillId="0" borderId="0" xfId="0" applyFont="1" applyAlignment="1"/>
    <xf numFmtId="0" fontId="19" fillId="0" borderId="0" xfId="0" applyFont="1" applyAlignment="1" applyProtection="1">
      <alignment horizontal="center" vertical="center"/>
    </xf>
    <xf numFmtId="0" fontId="19" fillId="0" borderId="0" xfId="0" applyFont="1" applyBorder="1" applyAlignment="1" applyProtection="1">
      <alignment horizontal="center" vertical="center"/>
    </xf>
    <xf numFmtId="0" fontId="19" fillId="0" borderId="0" xfId="0" applyFont="1" applyFill="1" applyBorder="1" applyAlignment="1" applyProtection="1">
      <alignment horizontal="center" vertical="center"/>
    </xf>
    <xf numFmtId="0" fontId="34" fillId="0" borderId="0" xfId="0" applyFont="1" applyAlignment="1" applyProtection="1">
      <alignment horizontal="center" vertical="center"/>
    </xf>
    <xf numFmtId="0" fontId="70" fillId="2" borderId="25" xfId="0" applyFont="1" applyFill="1" applyBorder="1" applyAlignment="1" applyProtection="1">
      <alignment horizontal="center" vertical="center"/>
    </xf>
    <xf numFmtId="0" fontId="70" fillId="2" borderId="27" xfId="0" applyFont="1" applyFill="1" applyBorder="1" applyAlignment="1" applyProtection="1">
      <alignment horizontal="center" vertical="center"/>
    </xf>
    <xf numFmtId="0" fontId="30" fillId="0" borderId="25" xfId="0" applyFont="1" applyBorder="1" applyAlignment="1" applyProtection="1">
      <alignment horizontal="center" vertical="center"/>
    </xf>
    <xf numFmtId="0" fontId="30" fillId="0" borderId="27" xfId="0" applyFont="1" applyBorder="1" applyAlignment="1" applyProtection="1">
      <alignment horizontal="center" vertical="center"/>
    </xf>
    <xf numFmtId="0" fontId="17" fillId="0" borderId="0" xfId="0" applyFont="1" applyProtection="1">
      <protection locked="0"/>
    </xf>
    <xf numFmtId="0" fontId="19" fillId="0" borderId="0" xfId="0" applyFont="1" applyAlignment="1" applyProtection="1">
      <alignment vertical="center"/>
      <protection locked="0"/>
    </xf>
    <xf numFmtId="0" fontId="19" fillId="0" borderId="0" xfId="0" applyFont="1" applyProtection="1">
      <protection locked="0"/>
    </xf>
    <xf numFmtId="0" fontId="19" fillId="2" borderId="26" xfId="0" applyFont="1" applyFill="1" applyBorder="1" applyAlignment="1" applyProtection="1">
      <alignment horizontal="center" vertical="center"/>
      <protection locked="0"/>
    </xf>
    <xf numFmtId="0" fontId="19" fillId="0" borderId="0" xfId="0" applyFont="1" applyBorder="1" applyAlignment="1" applyProtection="1">
      <alignment horizontal="center"/>
      <protection locked="0"/>
    </xf>
    <xf numFmtId="0" fontId="19" fillId="0" borderId="25"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34" fillId="0" borderId="0" xfId="0" applyFont="1" applyAlignment="1" applyProtection="1">
      <alignment vertical="center"/>
      <protection locked="0"/>
    </xf>
    <xf numFmtId="0" fontId="35" fillId="0" borderId="0" xfId="0" applyFont="1" applyProtection="1">
      <protection locked="0"/>
    </xf>
    <xf numFmtId="0" fontId="35" fillId="0" borderId="0" xfId="0" applyFont="1" applyBorder="1" applyAlignment="1" applyProtection="1">
      <alignment horizontal="center"/>
      <protection locked="0"/>
    </xf>
    <xf numFmtId="0" fontId="36" fillId="0" borderId="0" xfId="0" applyFont="1" applyProtection="1">
      <protection locked="0"/>
    </xf>
    <xf numFmtId="0" fontId="14" fillId="0" borderId="15"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24" fillId="0" borderId="14" xfId="0" quotePrefix="1" applyFont="1" applyBorder="1" applyAlignment="1" applyProtection="1">
      <alignment horizontal="center" vertical="center"/>
      <protection locked="0"/>
    </xf>
    <xf numFmtId="0" fontId="24" fillId="0" borderId="9" xfId="0" applyFont="1" applyBorder="1" applyAlignment="1" applyProtection="1">
      <alignment vertical="center"/>
      <protection locked="0"/>
    </xf>
    <xf numFmtId="0" fontId="14" fillId="0" borderId="15" xfId="0" applyFont="1" applyBorder="1" applyAlignment="1" applyProtection="1">
      <alignment vertical="center"/>
      <protection locked="0"/>
    </xf>
    <xf numFmtId="0" fontId="37" fillId="0" borderId="0" xfId="0" applyFont="1" applyProtection="1">
      <protection locked="0"/>
    </xf>
    <xf numFmtId="0" fontId="38" fillId="0" borderId="0" xfId="0" applyFont="1" applyProtection="1">
      <protection locked="0"/>
    </xf>
    <xf numFmtId="0" fontId="14" fillId="0" borderId="8" xfId="0" applyFont="1" applyBorder="1" applyAlignment="1" applyProtection="1">
      <alignment vertical="center"/>
      <protection locked="0"/>
    </xf>
    <xf numFmtId="0" fontId="24" fillId="0" borderId="0" xfId="0" quotePrefix="1" applyFont="1" applyBorder="1" applyAlignment="1" applyProtection="1">
      <alignment horizontal="center" vertical="center"/>
      <protection locked="0"/>
    </xf>
    <xf numFmtId="0" fontId="24" fillId="0" borderId="15"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39" fillId="0" borderId="8" xfId="0" applyFont="1" applyBorder="1" applyAlignment="1" applyProtection="1">
      <alignment vertical="center"/>
      <protection locked="0"/>
    </xf>
    <xf numFmtId="0" fontId="33" fillId="0" borderId="0" xfId="0" applyFont="1" applyBorder="1" applyAlignment="1" applyProtection="1">
      <alignment vertical="center"/>
      <protection locked="0"/>
    </xf>
    <xf numFmtId="0" fontId="33" fillId="0" borderId="15" xfId="0" applyFont="1" applyBorder="1" applyAlignment="1" applyProtection="1">
      <alignment vertical="center"/>
      <protection locked="0"/>
    </xf>
    <xf numFmtId="0" fontId="34" fillId="0" borderId="8" xfId="0" applyFont="1" applyBorder="1" applyAlignment="1" applyProtection="1">
      <alignment vertical="center"/>
      <protection locked="0"/>
    </xf>
    <xf numFmtId="0" fontId="29" fillId="0" borderId="0" xfId="0" applyFont="1" applyBorder="1" applyAlignment="1" applyProtection="1">
      <alignment vertical="center"/>
      <protection locked="0"/>
    </xf>
    <xf numFmtId="0" fontId="29" fillId="0" borderId="15"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35" fillId="0" borderId="0" xfId="0" applyFont="1" applyBorder="1" applyProtection="1">
      <protection locked="0"/>
    </xf>
    <xf numFmtId="0" fontId="38" fillId="0" borderId="0" xfId="0" applyFont="1" applyBorder="1" applyProtection="1">
      <protection locked="0"/>
    </xf>
    <xf numFmtId="0" fontId="14" fillId="0" borderId="16" xfId="0" applyFont="1" applyBorder="1" applyAlignment="1" applyProtection="1">
      <alignment vertical="center"/>
      <protection locked="0"/>
    </xf>
    <xf numFmtId="0" fontId="14" fillId="0" borderId="18" xfId="0" applyFont="1" applyBorder="1" applyAlignment="1" applyProtection="1">
      <alignment vertical="center"/>
      <protection locked="0"/>
    </xf>
    <xf numFmtId="0" fontId="14" fillId="0" borderId="17" xfId="0" applyFont="1" applyBorder="1" applyAlignment="1" applyProtection="1">
      <alignment vertical="center"/>
      <protection locked="0"/>
    </xf>
    <xf numFmtId="0" fontId="24" fillId="0" borderId="18" xfId="0" quotePrefix="1" applyFont="1" applyBorder="1" applyAlignment="1" applyProtection="1">
      <alignment horizontal="center" vertical="center"/>
      <protection locked="0"/>
    </xf>
    <xf numFmtId="0" fontId="24" fillId="0" borderId="17" xfId="0" applyFont="1" applyBorder="1" applyAlignment="1" applyProtection="1">
      <alignment vertical="center"/>
      <protection locked="0"/>
    </xf>
    <xf numFmtId="0" fontId="39" fillId="0" borderId="16" xfId="0" applyFont="1" applyBorder="1" applyAlignment="1" applyProtection="1">
      <alignment vertical="center"/>
      <protection locked="0"/>
    </xf>
    <xf numFmtId="0" fontId="39" fillId="0" borderId="18" xfId="0" applyFont="1" applyBorder="1" applyAlignment="1" applyProtection="1">
      <alignment vertical="center"/>
      <protection locked="0"/>
    </xf>
    <xf numFmtId="0" fontId="39" fillId="0" borderId="17" xfId="0" applyFont="1" applyBorder="1" applyAlignment="1" applyProtection="1">
      <alignment vertical="center"/>
      <protection locked="0"/>
    </xf>
    <xf numFmtId="0" fontId="29" fillId="0" borderId="0" xfId="0" applyFont="1" applyBorder="1" applyAlignment="1" applyProtection="1">
      <alignment vertical="center"/>
      <protection locked="0" hidden="1"/>
    </xf>
    <xf numFmtId="0" fontId="35" fillId="0" borderId="0" xfId="0" applyFont="1" applyBorder="1" applyAlignment="1" applyProtection="1">
      <alignment vertical="center" wrapText="1"/>
      <protection locked="0" hidden="1"/>
    </xf>
    <xf numFmtId="0" fontId="29" fillId="0" borderId="0" xfId="0" applyFont="1" applyBorder="1" applyAlignment="1" applyProtection="1">
      <alignment vertical="center" wrapText="1"/>
      <protection locked="0" hidden="1"/>
    </xf>
    <xf numFmtId="0" fontId="29" fillId="0" borderId="0" xfId="0" applyFont="1" applyBorder="1" applyAlignment="1" applyProtection="1">
      <alignment horizontal="left" vertical="center" wrapText="1"/>
      <protection locked="0" hidden="1"/>
    </xf>
    <xf numFmtId="0" fontId="29" fillId="0" borderId="0" xfId="0" applyFont="1" applyBorder="1" applyAlignment="1" applyProtection="1">
      <alignment horizontal="left" vertical="center"/>
      <protection locked="0" hidden="1"/>
    </xf>
    <xf numFmtId="0" fontId="19" fillId="0" borderId="0" xfId="0" applyFont="1" applyAlignment="1" applyProtection="1">
      <alignment vertical="center"/>
      <protection locked="0" hidden="1"/>
    </xf>
    <xf numFmtId="0" fontId="40" fillId="0" borderId="0" xfId="0" applyFont="1" applyBorder="1" applyAlignment="1" applyProtection="1">
      <alignment vertical="center"/>
      <protection locked="0"/>
    </xf>
    <xf numFmtId="168" fontId="41" fillId="0" borderId="0" xfId="0" applyNumberFormat="1" applyFont="1" applyBorder="1" applyAlignment="1" applyProtection="1">
      <alignment vertical="center" shrinkToFit="1"/>
      <protection locked="0"/>
    </xf>
    <xf numFmtId="168" fontId="41" fillId="0" borderId="0" xfId="0" applyNumberFormat="1" applyFont="1" applyBorder="1" applyAlignment="1" applyProtection="1">
      <alignment vertical="center"/>
      <protection locked="0"/>
    </xf>
    <xf numFmtId="0" fontId="41" fillId="0" borderId="0" xfId="0" applyNumberFormat="1" applyFont="1" applyBorder="1" applyAlignment="1" applyProtection="1">
      <alignment vertical="center"/>
      <protection locked="0"/>
    </xf>
    <xf numFmtId="0" fontId="40" fillId="0" borderId="0" xfId="0" applyFont="1" applyBorder="1" applyAlignment="1" applyProtection="1">
      <alignment horizontal="left" vertical="center"/>
      <protection locked="0"/>
    </xf>
    <xf numFmtId="0" fontId="40" fillId="0" borderId="0" xfId="0" applyFont="1" applyBorder="1" applyAlignment="1" applyProtection="1">
      <alignment horizontal="left" vertical="center"/>
      <protection locked="0" hidden="1"/>
    </xf>
    <xf numFmtId="0" fontId="40" fillId="0" borderId="0" xfId="0" applyFont="1" applyBorder="1" applyAlignment="1" applyProtection="1">
      <alignment vertical="center"/>
      <protection locked="0" hidden="1"/>
    </xf>
    <xf numFmtId="0" fontId="41" fillId="0" borderId="0" xfId="0" applyFont="1" applyBorder="1" applyAlignment="1" applyProtection="1">
      <alignment vertical="center"/>
      <protection locked="0" hidden="1"/>
    </xf>
    <xf numFmtId="0" fontId="42" fillId="0" borderId="0" xfId="0" applyFont="1" applyBorder="1" applyProtection="1">
      <protection locked="0"/>
    </xf>
    <xf numFmtId="0" fontId="18" fillId="0" borderId="0" xfId="0" applyFont="1" applyAlignment="1" applyProtection="1">
      <alignment vertical="center"/>
      <protection locked="0"/>
    </xf>
    <xf numFmtId="0" fontId="17" fillId="0" borderId="0" xfId="0" applyFont="1" applyProtection="1">
      <protection locked="0" hidden="1"/>
    </xf>
    <xf numFmtId="0" fontId="14" fillId="0" borderId="0" xfId="0" applyFont="1" applyAlignment="1" applyProtection="1">
      <alignment vertical="center"/>
      <protection locked="0" hidden="1"/>
    </xf>
    <xf numFmtId="0" fontId="33" fillId="0" borderId="0" xfId="0" applyFont="1" applyAlignment="1" applyProtection="1">
      <alignment vertical="center"/>
      <protection locked="0" hidden="1"/>
    </xf>
    <xf numFmtId="0" fontId="14" fillId="0" borderId="0" xfId="0" applyFont="1" applyAlignment="1" applyProtection="1">
      <alignment vertical="center" shrinkToFit="1"/>
      <protection locked="0" hidden="1"/>
    </xf>
    <xf numFmtId="0" fontId="17" fillId="0" borderId="0" xfId="0" applyFont="1" applyAlignment="1" applyProtection="1">
      <protection locked="0" hidden="1"/>
    </xf>
    <xf numFmtId="0" fontId="18" fillId="0" borderId="0" xfId="0" applyFont="1" applyBorder="1" applyAlignment="1" applyProtection="1">
      <alignment horizontal="left" wrapText="1"/>
      <protection locked="0" hidden="1"/>
    </xf>
    <xf numFmtId="0" fontId="58" fillId="0" borderId="0" xfId="0" applyFont="1" applyAlignment="1" applyProtection="1">
      <alignment vertical="center"/>
      <protection locked="0"/>
    </xf>
    <xf numFmtId="0" fontId="59" fillId="0" borderId="0" xfId="0" applyFont="1" applyProtection="1">
      <protection locked="0"/>
    </xf>
    <xf numFmtId="0" fontId="59" fillId="0" borderId="0" xfId="0" applyFont="1" applyBorder="1" applyAlignment="1" applyProtection="1">
      <alignment horizontal="center"/>
      <protection locked="0"/>
    </xf>
    <xf numFmtId="0" fontId="59" fillId="0" borderId="0" xfId="0" applyFont="1" applyAlignment="1" applyProtection="1">
      <alignment vertical="center"/>
      <protection locked="0"/>
    </xf>
    <xf numFmtId="0" fontId="10" fillId="0" borderId="0" xfId="0" applyFont="1" applyAlignment="1" applyProtection="1">
      <alignment vertical="center"/>
      <protection locked="0"/>
    </xf>
    <xf numFmtId="0" fontId="10" fillId="0" borderId="0" xfId="0" applyFont="1" applyProtection="1">
      <protection locked="0"/>
    </xf>
    <xf numFmtId="0" fontId="60" fillId="0" borderId="0" xfId="0" applyFont="1" applyBorder="1" applyAlignment="1" applyProtection="1">
      <alignment vertical="center"/>
      <protection locked="0"/>
    </xf>
    <xf numFmtId="0" fontId="61" fillId="0" borderId="0" xfId="0" applyFont="1" applyBorder="1" applyProtection="1">
      <protection locked="0"/>
    </xf>
    <xf numFmtId="0" fontId="39" fillId="0" borderId="0" xfId="0" applyFont="1" applyBorder="1" applyAlignment="1" applyProtection="1">
      <alignment horizontal="center" vertical="center" shrinkToFit="1"/>
      <protection locked="0"/>
    </xf>
    <xf numFmtId="0" fontId="61" fillId="0" borderId="0" xfId="0" applyFont="1" applyBorder="1" applyAlignment="1" applyProtection="1">
      <alignment vertical="center"/>
      <protection locked="0"/>
    </xf>
    <xf numFmtId="0" fontId="63" fillId="0" borderId="0" xfId="0" quotePrefix="1" applyFont="1" applyBorder="1" applyAlignment="1" applyProtection="1">
      <alignment horizontal="center" vertical="center"/>
      <protection locked="0"/>
    </xf>
    <xf numFmtId="0" fontId="63" fillId="0" borderId="0" xfId="0" applyFont="1" applyBorder="1" applyAlignment="1" applyProtection="1">
      <alignment vertical="center"/>
      <protection locked="0"/>
    </xf>
    <xf numFmtId="0" fontId="60" fillId="0" borderId="0" xfId="0" applyFont="1" applyBorder="1" applyProtection="1">
      <protection locked="0"/>
    </xf>
    <xf numFmtId="0" fontId="37" fillId="0" borderId="0" xfId="0" applyFont="1" applyBorder="1" applyAlignment="1" applyProtection="1">
      <alignment vertical="center"/>
      <protection locked="0"/>
    </xf>
    <xf numFmtId="0" fontId="37" fillId="0" borderId="0" xfId="0" applyFont="1" applyBorder="1" applyProtection="1">
      <protection locked="0"/>
    </xf>
    <xf numFmtId="0" fontId="38" fillId="0" borderId="0" xfId="0" applyFont="1" applyBorder="1" applyAlignment="1" applyProtection="1">
      <alignment horizontal="center" vertical="center" shrinkToFit="1"/>
      <protection locked="0"/>
    </xf>
    <xf numFmtId="0" fontId="78" fillId="0" borderId="0" xfId="0" quotePrefix="1" applyFont="1" applyBorder="1" applyAlignment="1" applyProtection="1">
      <alignment horizontal="center" vertical="center"/>
      <protection locked="0"/>
    </xf>
    <xf numFmtId="0" fontId="78" fillId="0" borderId="0" xfId="0" applyFont="1" applyBorder="1" applyAlignment="1" applyProtection="1">
      <alignment vertical="center"/>
      <protection locked="0"/>
    </xf>
    <xf numFmtId="0" fontId="37" fillId="0" borderId="0" xfId="0" applyFont="1" applyBorder="1" applyAlignment="1" applyProtection="1">
      <alignment horizontal="center" vertical="center"/>
      <protection locked="0"/>
    </xf>
    <xf numFmtId="0" fontId="38" fillId="0" borderId="78" xfId="0" applyFont="1" applyBorder="1" applyProtection="1">
      <protection locked="0"/>
    </xf>
    <xf numFmtId="0" fontId="38" fillId="0" borderId="78" xfId="0" applyFont="1" applyBorder="1" applyAlignment="1" applyProtection="1">
      <alignment horizontal="center" vertical="center" shrinkToFit="1"/>
      <protection locked="0"/>
    </xf>
    <xf numFmtId="0" fontId="38" fillId="0" borderId="78" xfId="0" applyFont="1" applyBorder="1" applyAlignment="1" applyProtection="1">
      <alignment horizontal="center" vertical="center"/>
      <protection locked="0"/>
    </xf>
    <xf numFmtId="0" fontId="38" fillId="0" borderId="78" xfId="0" applyFont="1" applyBorder="1" applyAlignment="1" applyProtection="1">
      <alignment vertical="center"/>
      <protection locked="0"/>
    </xf>
    <xf numFmtId="0" fontId="79" fillId="0" borderId="78" xfId="0" quotePrefix="1" applyFont="1" applyBorder="1" applyAlignment="1" applyProtection="1">
      <alignment horizontal="center" vertical="center"/>
      <protection locked="0"/>
    </xf>
    <xf numFmtId="0" fontId="79" fillId="0" borderId="78" xfId="0" applyFont="1" applyBorder="1" applyAlignment="1" applyProtection="1">
      <alignment vertical="center"/>
      <protection locked="0"/>
    </xf>
    <xf numFmtId="0" fontId="38" fillId="0" borderId="0" xfId="0" applyFont="1" applyBorder="1" applyAlignment="1" applyProtection="1">
      <alignment vertical="center" shrinkToFit="1"/>
      <protection locked="0"/>
    </xf>
    <xf numFmtId="0" fontId="38" fillId="0" borderId="78" xfId="0" applyFont="1" applyBorder="1" applyAlignment="1" applyProtection="1">
      <alignment vertical="center" shrinkToFit="1"/>
      <protection locked="0"/>
    </xf>
    <xf numFmtId="0" fontId="37" fillId="0" borderId="0" xfId="0" applyFont="1" applyBorder="1" applyAlignment="1" applyProtection="1">
      <alignment vertical="center" shrinkToFit="1"/>
      <protection locked="0"/>
    </xf>
    <xf numFmtId="0" fontId="60" fillId="0" borderId="78" xfId="0" applyFont="1" applyBorder="1" applyAlignment="1" applyProtection="1">
      <alignment vertical="center"/>
      <protection locked="0"/>
    </xf>
    <xf numFmtId="0" fontId="37" fillId="0" borderId="0" xfId="0" applyFont="1" applyBorder="1" applyAlignment="1" applyProtection="1">
      <alignment vertical="center"/>
      <protection locked="0" hidden="1"/>
    </xf>
    <xf numFmtId="0" fontId="37" fillId="0" borderId="0" xfId="0" applyFont="1" applyBorder="1" applyAlignment="1" applyProtection="1">
      <alignment vertical="center" wrapText="1"/>
      <protection locked="0" hidden="1"/>
    </xf>
    <xf numFmtId="0" fontId="37" fillId="0" borderId="0" xfId="0" applyFont="1" applyBorder="1" applyAlignment="1" applyProtection="1">
      <alignment horizontal="left" vertical="center" wrapText="1"/>
      <protection locked="0" hidden="1"/>
    </xf>
    <xf numFmtId="0" fontId="37" fillId="0" borderId="0" xfId="0" applyFont="1" applyBorder="1" applyAlignment="1" applyProtection="1">
      <alignment horizontal="left" vertical="center"/>
      <protection locked="0" hidden="1"/>
    </xf>
    <xf numFmtId="0" fontId="60" fillId="0" borderId="0" xfId="0" applyFont="1" applyBorder="1" applyAlignment="1" applyProtection="1">
      <alignment vertical="center"/>
      <protection locked="0" hidden="1"/>
    </xf>
    <xf numFmtId="0" fontId="60" fillId="0" borderId="0" xfId="0" applyFont="1" applyBorder="1" applyProtection="1">
      <protection locked="0" hidden="1"/>
    </xf>
    <xf numFmtId="0" fontId="77" fillId="0" borderId="0" xfId="0" applyFont="1" applyBorder="1" applyAlignment="1" applyProtection="1">
      <alignment vertical="center"/>
      <protection locked="0"/>
    </xf>
    <xf numFmtId="168" fontId="80" fillId="0" borderId="78" xfId="0" applyNumberFormat="1" applyFont="1" applyBorder="1" applyAlignment="1" applyProtection="1">
      <alignment vertical="center"/>
      <protection locked="0"/>
    </xf>
    <xf numFmtId="0" fontId="80" fillId="0" borderId="78" xfId="0" applyNumberFormat="1" applyFont="1" applyFill="1" applyBorder="1" applyAlignment="1" applyProtection="1">
      <alignment vertical="center"/>
      <protection locked="0"/>
    </xf>
    <xf numFmtId="0" fontId="80" fillId="0" borderId="78" xfId="0" applyFont="1" applyBorder="1" applyAlignment="1" applyProtection="1">
      <alignment horizontal="left" vertical="center"/>
      <protection locked="0"/>
    </xf>
    <xf numFmtId="0" fontId="80" fillId="0" borderId="78" xfId="0" applyFont="1" applyBorder="1" applyAlignment="1" applyProtection="1">
      <alignment vertical="center"/>
      <protection locked="0"/>
    </xf>
    <xf numFmtId="0" fontId="80" fillId="0" borderId="78" xfId="0" applyFont="1" applyBorder="1" applyAlignment="1" applyProtection="1">
      <alignment horizontal="left" vertical="center"/>
      <protection locked="0" hidden="1"/>
    </xf>
    <xf numFmtId="0" fontId="80" fillId="0" borderId="78" xfId="0" applyFont="1" applyBorder="1" applyAlignment="1" applyProtection="1">
      <alignment vertical="center"/>
      <protection locked="0" hidden="1"/>
    </xf>
    <xf numFmtId="0" fontId="64" fillId="0" borderId="78" xfId="0" applyFont="1" applyBorder="1" applyAlignment="1" applyProtection="1">
      <alignment vertical="center"/>
      <protection locked="0"/>
    </xf>
    <xf numFmtId="0" fontId="64" fillId="0" borderId="0" xfId="0" applyFont="1" applyBorder="1" applyProtection="1">
      <protection locked="0"/>
    </xf>
    <xf numFmtId="0" fontId="64" fillId="0" borderId="0" xfId="0" applyFont="1" applyBorder="1" applyAlignment="1" applyProtection="1">
      <alignment vertical="center"/>
      <protection locked="0"/>
    </xf>
    <xf numFmtId="168" fontId="77" fillId="0" borderId="0" xfId="0" applyNumberFormat="1" applyFont="1" applyBorder="1" applyAlignment="1" applyProtection="1">
      <alignment vertical="center"/>
      <protection locked="0"/>
    </xf>
    <xf numFmtId="0" fontId="77" fillId="0" borderId="0" xfId="0" applyNumberFormat="1" applyFont="1" applyFill="1" applyBorder="1" applyAlignment="1" applyProtection="1">
      <alignment vertical="center"/>
      <protection locked="0"/>
    </xf>
    <xf numFmtId="2" fontId="77" fillId="0" borderId="0" xfId="0" applyNumberFormat="1" applyFont="1" applyBorder="1" applyAlignment="1" applyProtection="1">
      <alignment horizontal="center" vertical="center"/>
      <protection locked="0"/>
    </xf>
    <xf numFmtId="0" fontId="77" fillId="0" borderId="0" xfId="0" applyFont="1" applyBorder="1" applyAlignment="1" applyProtection="1">
      <alignment horizontal="left" vertical="center"/>
      <protection locked="0"/>
    </xf>
    <xf numFmtId="0" fontId="77" fillId="0" borderId="0" xfId="0" applyFont="1" applyBorder="1" applyAlignment="1" applyProtection="1">
      <alignment horizontal="left" vertical="center"/>
      <protection locked="0" hidden="1"/>
    </xf>
    <xf numFmtId="0" fontId="77" fillId="0" borderId="0" xfId="0" applyFont="1" applyBorder="1" applyAlignment="1" applyProtection="1">
      <alignment vertical="center"/>
      <protection locked="0" hidden="1"/>
    </xf>
    <xf numFmtId="0" fontId="36" fillId="0" borderId="0" xfId="0" applyFont="1" applyBorder="1" applyProtection="1">
      <protection locked="0"/>
    </xf>
    <xf numFmtId="0" fontId="38" fillId="0" borderId="0" xfId="0" applyFont="1" applyBorder="1" applyAlignment="1" applyProtection="1">
      <alignment vertical="center"/>
      <protection locked="0"/>
    </xf>
    <xf numFmtId="0" fontId="35" fillId="0" borderId="0" xfId="0" applyFont="1" applyBorder="1" applyAlignment="1" applyProtection="1">
      <alignment vertical="center"/>
      <protection locked="0"/>
    </xf>
    <xf numFmtId="0" fontId="36" fillId="0" borderId="0" xfId="0" applyFont="1" applyBorder="1" applyAlignment="1" applyProtection="1">
      <protection locked="0"/>
    </xf>
    <xf numFmtId="0" fontId="57" fillId="0" borderId="0" xfId="0" applyFont="1" applyBorder="1" applyAlignment="1" applyProtection="1">
      <protection locked="0"/>
    </xf>
    <xf numFmtId="0" fontId="57" fillId="0" borderId="0" xfId="0" applyFont="1" applyProtection="1">
      <protection locked="0"/>
    </xf>
    <xf numFmtId="0" fontId="14" fillId="0" borderId="0" xfId="0" applyFont="1" applyBorder="1" applyAlignment="1" applyProtection="1">
      <alignment vertical="center"/>
      <protection hidden="1"/>
    </xf>
    <xf numFmtId="0" fontId="19" fillId="0" borderId="0" xfId="0" applyFont="1" applyBorder="1" applyAlignment="1" applyProtection="1">
      <alignment vertical="center"/>
      <protection hidden="1"/>
    </xf>
    <xf numFmtId="0" fontId="18" fillId="0" borderId="0" xfId="0" applyFont="1" applyAlignment="1" applyProtection="1">
      <alignment vertical="center"/>
      <protection hidden="1"/>
    </xf>
    <xf numFmtId="0" fontId="17" fillId="3" borderId="24" xfId="0" applyFont="1" applyFill="1" applyBorder="1" applyProtection="1">
      <protection hidden="1"/>
    </xf>
    <xf numFmtId="0" fontId="85" fillId="13" borderId="12" xfId="0" applyFont="1" applyFill="1" applyBorder="1" applyAlignment="1" applyProtection="1">
      <alignment horizontal="left" vertical="center"/>
      <protection hidden="1"/>
    </xf>
    <xf numFmtId="0" fontId="14" fillId="0" borderId="0" xfId="0" applyFont="1" applyAlignment="1" applyProtection="1">
      <alignment vertical="center"/>
      <protection hidden="1"/>
    </xf>
    <xf numFmtId="0" fontId="99" fillId="0" borderId="0" xfId="1" applyFont="1" applyBorder="1" applyAlignment="1" applyProtection="1">
      <alignment vertical="center"/>
      <protection hidden="1"/>
    </xf>
    <xf numFmtId="0" fontId="47" fillId="0" borderId="0" xfId="1" applyFont="1" applyBorder="1" applyAlignment="1" applyProtection="1">
      <alignment vertical="center"/>
      <protection hidden="1"/>
    </xf>
    <xf numFmtId="0" fontId="85" fillId="13" borderId="20" xfId="0" applyFont="1" applyFill="1" applyBorder="1" applyAlignment="1" applyProtection="1">
      <alignment horizontal="left" vertical="center"/>
      <protection hidden="1"/>
    </xf>
    <xf numFmtId="0" fontId="16" fillId="0" borderId="0" xfId="0" applyFont="1" applyFill="1" applyBorder="1" applyAlignment="1" applyProtection="1">
      <alignment vertical="center" shrinkToFit="1"/>
      <protection hidden="1"/>
    </xf>
    <xf numFmtId="0" fontId="15" fillId="0" borderId="0" xfId="0" applyFont="1" applyProtection="1">
      <protection hidden="1"/>
    </xf>
    <xf numFmtId="0" fontId="19" fillId="0" borderId="2" xfId="0" applyFont="1" applyBorder="1" applyAlignment="1" applyProtection="1">
      <protection hidden="1"/>
    </xf>
    <xf numFmtId="0" fontId="17" fillId="0" borderId="0" xfId="0" applyFont="1" applyAlignment="1" applyProtection="1">
      <protection hidden="1"/>
    </xf>
    <xf numFmtId="0" fontId="19" fillId="0" borderId="0" xfId="0" applyFont="1" applyAlignment="1" applyProtection="1">
      <protection hidden="1"/>
    </xf>
    <xf numFmtId="0" fontId="17" fillId="0" borderId="0" xfId="0" applyFont="1" applyAlignment="1" applyProtection="1">
      <alignment vertical="center"/>
      <protection hidden="1"/>
    </xf>
    <xf numFmtId="0" fontId="18" fillId="0" borderId="44" xfId="0" quotePrefix="1" applyFont="1" applyBorder="1" applyAlignment="1" applyProtection="1">
      <alignment vertical="center" shrinkToFit="1"/>
      <protection hidden="1"/>
    </xf>
    <xf numFmtId="0" fontId="18" fillId="0" borderId="44" xfId="0" quotePrefix="1" applyFont="1" applyFill="1" applyBorder="1" applyAlignment="1" applyProtection="1">
      <alignment vertical="center" shrinkToFit="1"/>
      <protection hidden="1"/>
    </xf>
    <xf numFmtId="0" fontId="19" fillId="0" borderId="2" xfId="0" applyFont="1" applyBorder="1" applyAlignment="1" applyProtection="1">
      <alignment vertical="center"/>
      <protection hidden="1"/>
    </xf>
    <xf numFmtId="0" fontId="19" fillId="0" borderId="0" xfId="0" applyFont="1" applyAlignment="1" applyProtection="1">
      <alignment horizontal="left" vertical="top"/>
      <protection hidden="1"/>
    </xf>
    <xf numFmtId="0" fontId="17" fillId="0" borderId="0" xfId="0" applyFont="1" applyAlignment="1" applyProtection="1">
      <alignment vertical="top" wrapText="1"/>
      <protection hidden="1"/>
    </xf>
    <xf numFmtId="0" fontId="14" fillId="0" borderId="0" xfId="0" applyFont="1" applyProtection="1">
      <protection hidden="1"/>
    </xf>
    <xf numFmtId="0" fontId="19" fillId="0" borderId="0" xfId="0" applyFont="1" applyBorder="1" applyAlignment="1" applyProtection="1">
      <alignment horizontal="center" vertical="center" shrinkToFit="1"/>
      <protection hidden="1"/>
    </xf>
    <xf numFmtId="0" fontId="19" fillId="0" borderId="0" xfId="0" applyFont="1" applyBorder="1" applyAlignment="1" applyProtection="1">
      <alignment horizontal="center" vertical="center" wrapText="1"/>
      <protection hidden="1"/>
    </xf>
    <xf numFmtId="0" fontId="38" fillId="0" borderId="0" xfId="0" applyFont="1" applyAlignment="1" applyProtection="1">
      <alignment horizontal="center" vertical="center" wrapText="1" shrinkToFit="1"/>
      <protection hidden="1"/>
    </xf>
    <xf numFmtId="0" fontId="94" fillId="0" borderId="0" xfId="0" applyFont="1" applyAlignment="1" applyProtection="1">
      <alignment vertical="center" wrapText="1" shrinkToFit="1"/>
      <protection hidden="1"/>
    </xf>
    <xf numFmtId="0" fontId="95" fillId="0" borderId="0" xfId="0" applyFont="1" applyAlignment="1" applyProtection="1">
      <alignment vertical="center" wrapText="1" shrinkToFit="1"/>
      <protection hidden="1"/>
    </xf>
    <xf numFmtId="0" fontId="95" fillId="0" borderId="0" xfId="0" applyFont="1" applyAlignment="1" applyProtection="1">
      <alignment wrapText="1"/>
      <protection hidden="1"/>
    </xf>
    <xf numFmtId="0" fontId="36" fillId="0" borderId="0" xfId="0" applyFont="1" applyProtection="1">
      <protection hidden="1"/>
    </xf>
    <xf numFmtId="0" fontId="36" fillId="0" borderId="0" xfId="0" applyFont="1" applyAlignment="1" applyProtection="1">
      <alignment vertical="center"/>
      <protection hidden="1"/>
    </xf>
    <xf numFmtId="0" fontId="35" fillId="0" borderId="0" xfId="0" applyFont="1" applyAlignment="1" applyProtection="1">
      <alignment vertical="center"/>
      <protection hidden="1"/>
    </xf>
    <xf numFmtId="0" fontId="35" fillId="0" borderId="0" xfId="0" applyFont="1" applyBorder="1" applyAlignment="1" applyProtection="1">
      <alignment horizontal="center" vertical="center" shrinkToFit="1"/>
      <protection hidden="1"/>
    </xf>
    <xf numFmtId="0" fontId="35" fillId="0" borderId="0" xfId="0" applyFont="1" applyBorder="1" applyAlignment="1" applyProtection="1">
      <alignment horizontal="center" vertical="center" wrapText="1"/>
      <protection hidden="1"/>
    </xf>
    <xf numFmtId="0" fontId="38" fillId="0" borderId="0" xfId="0" applyFont="1" applyProtection="1">
      <protection hidden="1"/>
    </xf>
    <xf numFmtId="0" fontId="38" fillId="0" borderId="0" xfId="0" applyFont="1" applyAlignment="1" applyProtection="1">
      <alignment vertical="center"/>
      <protection hidden="1"/>
    </xf>
    <xf numFmtId="0" fontId="38" fillId="0" borderId="0" xfId="0" applyFont="1" applyBorder="1" applyAlignment="1" applyProtection="1">
      <alignment horizontal="center" vertical="center" shrinkToFit="1"/>
      <protection hidden="1"/>
    </xf>
    <xf numFmtId="0" fontId="38" fillId="0" borderId="0" xfId="0" applyFont="1" applyBorder="1" applyAlignment="1" applyProtection="1">
      <alignment horizontal="center" vertical="center" wrapText="1"/>
      <protection hidden="1"/>
    </xf>
    <xf numFmtId="0" fontId="38" fillId="0" borderId="0" xfId="0" applyFont="1" applyAlignment="1" applyProtection="1">
      <alignment horizontal="center" wrapText="1"/>
      <protection hidden="1"/>
    </xf>
    <xf numFmtId="0" fontId="14" fillId="0" borderId="0" xfId="0" applyFont="1" applyBorder="1" applyAlignment="1" applyProtection="1">
      <alignment horizontal="center" vertical="center" shrinkToFit="1"/>
      <protection hidden="1"/>
    </xf>
    <xf numFmtId="0" fontId="14" fillId="0" borderId="0" xfId="0" applyFont="1" applyBorder="1" applyAlignment="1" applyProtection="1">
      <alignment horizontal="center" vertical="center" wrapText="1"/>
      <protection hidden="1"/>
    </xf>
    <xf numFmtId="0" fontId="15" fillId="0" borderId="12" xfId="0" applyFont="1" applyBorder="1" applyProtection="1"/>
    <xf numFmtId="0" fontId="15" fillId="0" borderId="0" xfId="0" applyFont="1" applyBorder="1" applyProtection="1"/>
    <xf numFmtId="0" fontId="116" fillId="0" borderId="0" xfId="0" applyFont="1" applyBorder="1" applyAlignment="1"/>
    <xf numFmtId="0" fontId="116" fillId="0" borderId="0" xfId="0" applyFont="1" applyAlignment="1"/>
    <xf numFmtId="0" fontId="116" fillId="0" borderId="0" xfId="0" applyFont="1"/>
    <xf numFmtId="0" fontId="116" fillId="0" borderId="0" xfId="0" applyFont="1" applyAlignment="1">
      <alignment vertical="center"/>
    </xf>
    <xf numFmtId="0" fontId="116" fillId="0" borderId="0" xfId="0" applyFont="1" applyAlignment="1">
      <alignment vertical="center" shrinkToFit="1"/>
    </xf>
    <xf numFmtId="0" fontId="82" fillId="0" borderId="0" xfId="0" applyFont="1" applyBorder="1" applyAlignment="1">
      <alignment horizontal="center" vertical="center"/>
    </xf>
    <xf numFmtId="0" fontId="100" fillId="0" borderId="0" xfId="0" applyFont="1"/>
    <xf numFmtId="0" fontId="100" fillId="0" borderId="0" xfId="0" applyFont="1" applyAlignment="1">
      <alignment vertical="center"/>
    </xf>
    <xf numFmtId="0" fontId="19" fillId="0" borderId="0" xfId="0" applyFont="1" applyAlignment="1" applyProtection="1">
      <alignment horizontal="center" vertical="center"/>
    </xf>
    <xf numFmtId="0" fontId="19" fillId="0" borderId="0" xfId="0" applyFont="1" applyBorder="1" applyAlignment="1" applyProtection="1">
      <alignment horizontal="center" vertical="center"/>
    </xf>
    <xf numFmtId="0" fontId="17" fillId="0" borderId="0" xfId="0" applyFont="1" applyBorder="1" applyAlignment="1" applyProtection="1">
      <alignment horizontal="center"/>
    </xf>
    <xf numFmtId="0" fontId="14" fillId="0" borderId="78" xfId="0" applyFont="1" applyBorder="1" applyAlignment="1" applyProtection="1">
      <alignment wrapText="1"/>
    </xf>
    <xf numFmtId="0" fontId="0" fillId="0" borderId="0" xfId="0" applyAlignment="1">
      <alignment wrapText="1"/>
    </xf>
    <xf numFmtId="0" fontId="27" fillId="0" borderId="12" xfId="0" applyFont="1" applyFill="1" applyBorder="1" applyAlignment="1" applyProtection="1">
      <alignment horizontal="center" vertical="center" shrinkToFit="1"/>
    </xf>
    <xf numFmtId="0" fontId="27" fillId="0" borderId="86" xfId="0" applyFont="1" applyFill="1" applyBorder="1" applyAlignment="1" applyProtection="1">
      <alignment horizontal="center" vertical="center" shrinkToFit="1"/>
    </xf>
    <xf numFmtId="0" fontId="28" fillId="0" borderId="67" xfId="0" applyFont="1" applyBorder="1" applyAlignment="1" applyProtection="1">
      <alignment horizontal="center" vertical="center" shrinkToFit="1"/>
    </xf>
    <xf numFmtId="0" fontId="28" fillId="0" borderId="72" xfId="0" applyFont="1" applyBorder="1" applyAlignment="1" applyProtection="1">
      <alignment horizontal="center" vertical="center" shrinkToFit="1"/>
    </xf>
    <xf numFmtId="0" fontId="19" fillId="0" borderId="0" xfId="0" applyFont="1" applyBorder="1" applyAlignment="1" applyProtection="1">
      <alignment horizontal="center" vertical="center"/>
    </xf>
    <xf numFmtId="0" fontId="14" fillId="0" borderId="0" xfId="0" applyFont="1" applyBorder="1" applyAlignment="1" applyProtection="1">
      <alignment horizontal="center" vertical="center"/>
    </xf>
    <xf numFmtId="0" fontId="25" fillId="0" borderId="96" xfId="0" applyFont="1" applyBorder="1" applyAlignment="1" applyProtection="1">
      <alignment horizontal="left"/>
    </xf>
    <xf numFmtId="14" fontId="26" fillId="14" borderId="67" xfId="0" applyNumberFormat="1" applyFont="1" applyFill="1" applyBorder="1" applyAlignment="1" applyProtection="1">
      <alignment horizontal="center" vertical="center" shrinkToFit="1"/>
      <protection locked="0"/>
    </xf>
    <xf numFmtId="14" fontId="26" fillId="14" borderId="72" xfId="0" applyNumberFormat="1" applyFont="1" applyFill="1" applyBorder="1" applyAlignment="1" applyProtection="1">
      <alignment horizontal="center" vertical="center" shrinkToFit="1"/>
      <protection locked="0"/>
    </xf>
    <xf numFmtId="0" fontId="16" fillId="0" borderId="96" xfId="0" applyNumberFormat="1" applyFont="1" applyBorder="1" applyAlignment="1" applyProtection="1">
      <alignment horizontal="left"/>
    </xf>
    <xf numFmtId="0" fontId="16" fillId="0" borderId="96" xfId="0" applyFont="1" applyBorder="1" applyAlignment="1" applyProtection="1">
      <alignment horizontal="left"/>
    </xf>
    <xf numFmtId="0" fontId="13" fillId="14" borderId="54" xfId="0" applyFont="1" applyFill="1" applyBorder="1" applyAlignment="1" applyProtection="1">
      <alignment horizontal="left" vertical="center" shrinkToFit="1"/>
    </xf>
    <xf numFmtId="0" fontId="118" fillId="2" borderId="119" xfId="0" applyFont="1" applyFill="1" applyBorder="1" applyAlignment="1" applyProtection="1">
      <alignment horizontal="center" shrinkToFit="1"/>
    </xf>
    <xf numFmtId="0" fontId="118" fillId="2" borderId="78" xfId="0" applyFont="1" applyFill="1" applyBorder="1" applyAlignment="1" applyProtection="1">
      <alignment horizontal="center" shrinkToFit="1"/>
    </xf>
    <xf numFmtId="0" fontId="14" fillId="0" borderId="54" xfId="0" applyFont="1" applyBorder="1" applyAlignment="1" applyProtection="1">
      <alignment horizontal="center" vertical="center" shrinkToFit="1"/>
    </xf>
    <xf numFmtId="0" fontId="21" fillId="0" borderId="54" xfId="0" applyFont="1" applyBorder="1" applyAlignment="1" applyProtection="1">
      <alignment horizontal="left" vertical="center" wrapText="1"/>
      <protection locked="0"/>
    </xf>
    <xf numFmtId="0" fontId="46" fillId="10" borderId="11" xfId="0" applyFont="1" applyFill="1" applyBorder="1" applyAlignment="1" applyProtection="1">
      <alignment horizontal="center" vertical="center" shrinkToFit="1"/>
    </xf>
    <xf numFmtId="0" fontId="46" fillId="10" borderId="12" xfId="0" applyFont="1" applyFill="1" applyBorder="1" applyAlignment="1" applyProtection="1">
      <alignment horizontal="center" vertical="center" shrinkToFit="1"/>
    </xf>
    <xf numFmtId="18" fontId="76" fillId="15" borderId="73" xfId="0" applyNumberFormat="1" applyFont="1" applyFill="1" applyBorder="1" applyAlignment="1" applyProtection="1">
      <alignment horizontal="center" vertical="center" shrinkToFit="1"/>
      <protection locked="0"/>
    </xf>
    <xf numFmtId="0" fontId="28" fillId="0" borderId="54" xfId="0" applyFont="1" applyBorder="1" applyAlignment="1" applyProtection="1">
      <alignment horizontal="right" vertical="center" shrinkToFit="1"/>
    </xf>
    <xf numFmtId="0" fontId="28" fillId="0" borderId="72" xfId="0" applyFont="1" applyBorder="1" applyAlignment="1" applyProtection="1">
      <alignment horizontal="right" vertical="center" shrinkToFit="1"/>
    </xf>
    <xf numFmtId="0" fontId="26" fillId="0" borderId="67" xfId="0" applyFont="1" applyBorder="1" applyAlignment="1" applyProtection="1">
      <alignment horizontal="left" vertical="center" shrinkToFit="1"/>
      <protection locked="0"/>
    </xf>
    <xf numFmtId="0" fontId="26" fillId="0" borderId="54" xfId="0" applyFont="1" applyBorder="1" applyAlignment="1" applyProtection="1">
      <alignment horizontal="left" vertical="center" shrinkToFit="1"/>
      <protection locked="0"/>
    </xf>
    <xf numFmtId="0" fontId="28" fillId="0" borderId="102" xfId="0" applyFont="1" applyBorder="1" applyAlignment="1" applyProtection="1">
      <alignment horizontal="center" vertical="center" shrinkToFit="1"/>
    </xf>
    <xf numFmtId="0" fontId="26" fillId="14" borderId="73" xfId="0" applyFont="1" applyFill="1" applyBorder="1" applyAlignment="1" applyProtection="1">
      <alignment horizontal="center" vertical="center" shrinkToFit="1"/>
    </xf>
    <xf numFmtId="0" fontId="85" fillId="0" borderId="102" xfId="0" applyFont="1" applyBorder="1" applyAlignment="1" applyProtection="1">
      <alignment horizontal="center" vertical="center" shrinkToFit="1"/>
    </xf>
    <xf numFmtId="9" fontId="26" fillId="14" borderId="73" xfId="0" applyNumberFormat="1" applyFont="1" applyFill="1" applyBorder="1" applyAlignment="1" applyProtection="1">
      <alignment horizontal="center" vertical="center" shrinkToFit="1"/>
    </xf>
    <xf numFmtId="0" fontId="14" fillId="0" borderId="54" xfId="0" applyFont="1" applyBorder="1" applyAlignment="1" applyProtection="1">
      <alignment vertical="center" wrapText="1"/>
    </xf>
    <xf numFmtId="0" fontId="28" fillId="0" borderId="97" xfId="0" applyFont="1" applyBorder="1" applyAlignment="1" applyProtection="1">
      <alignment horizontal="center" vertical="center"/>
    </xf>
    <xf numFmtId="0" fontId="28" fillId="0" borderId="98" xfId="0" applyFont="1" applyBorder="1" applyAlignment="1" applyProtection="1">
      <alignment horizontal="center" vertical="center"/>
    </xf>
    <xf numFmtId="0" fontId="28" fillId="0" borderId="99" xfId="0" applyFont="1" applyBorder="1" applyAlignment="1" applyProtection="1">
      <alignment horizontal="center" vertical="center"/>
    </xf>
    <xf numFmtId="170" fontId="49" fillId="14" borderId="67" xfId="0" applyNumberFormat="1" applyFont="1" applyFill="1" applyBorder="1" applyAlignment="1" applyProtection="1">
      <alignment horizontal="center" vertical="center"/>
      <protection locked="0"/>
    </xf>
    <xf numFmtId="170" fontId="49" fillId="14" borderId="54" xfId="0" applyNumberFormat="1" applyFont="1" applyFill="1" applyBorder="1" applyAlignment="1" applyProtection="1">
      <alignment horizontal="center" vertical="center"/>
      <protection locked="0"/>
    </xf>
    <xf numFmtId="170" fontId="49" fillId="14" borderId="72" xfId="0" applyNumberFormat="1" applyFont="1" applyFill="1" applyBorder="1" applyAlignment="1" applyProtection="1">
      <alignment horizontal="center" vertical="center"/>
      <protection locked="0"/>
    </xf>
    <xf numFmtId="0" fontId="13" fillId="14" borderId="91" xfId="0" applyNumberFormat="1" applyFont="1" applyFill="1" applyBorder="1" applyAlignment="1" applyProtection="1">
      <alignment horizontal="left" vertical="center" shrinkToFit="1"/>
    </xf>
    <xf numFmtId="0" fontId="13" fillId="14" borderId="92" xfId="0" applyNumberFormat="1" applyFont="1" applyFill="1" applyBorder="1" applyAlignment="1" applyProtection="1">
      <alignment horizontal="left" vertical="center" shrinkToFit="1"/>
    </xf>
    <xf numFmtId="0" fontId="13" fillId="14" borderId="89" xfId="0" applyFont="1" applyFill="1" applyBorder="1" applyAlignment="1" applyProtection="1">
      <alignment horizontal="left" vertical="center" shrinkToFit="1"/>
    </xf>
    <xf numFmtId="0" fontId="13" fillId="14" borderId="94" xfId="0" applyFont="1" applyFill="1" applyBorder="1" applyAlignment="1" applyProtection="1">
      <alignment horizontal="left" vertical="center" shrinkToFit="1"/>
    </xf>
    <xf numFmtId="0" fontId="13" fillId="14" borderId="95" xfId="0" applyFont="1" applyFill="1" applyBorder="1" applyAlignment="1" applyProtection="1">
      <alignment horizontal="left" vertical="center" shrinkToFit="1"/>
    </xf>
    <xf numFmtId="0" fontId="10" fillId="14" borderId="90" xfId="0" applyFont="1" applyFill="1" applyBorder="1" applyAlignment="1" applyProtection="1">
      <alignment horizontal="right" vertical="center" shrinkToFit="1"/>
    </xf>
    <xf numFmtId="0" fontId="10" fillId="14" borderId="91" xfId="0" applyFont="1" applyFill="1" applyBorder="1" applyAlignment="1" applyProtection="1">
      <alignment horizontal="right" vertical="center" shrinkToFit="1"/>
    </xf>
    <xf numFmtId="0" fontId="10" fillId="14" borderId="88" xfId="0" applyFont="1" applyFill="1" applyBorder="1" applyAlignment="1" applyProtection="1">
      <alignment horizontal="right" vertical="center" shrinkToFit="1"/>
    </xf>
    <xf numFmtId="0" fontId="10" fillId="14" borderId="54" xfId="0" applyFont="1" applyFill="1" applyBorder="1" applyAlignment="1" applyProtection="1">
      <alignment horizontal="right" vertical="center" shrinkToFit="1"/>
    </xf>
    <xf numFmtId="0" fontId="10" fillId="14" borderId="88" xfId="0" applyFont="1" applyFill="1" applyBorder="1" applyAlignment="1" applyProtection="1">
      <alignment horizontal="right" vertical="center"/>
    </xf>
    <xf numFmtId="0" fontId="10" fillId="14" borderId="54" xfId="0" applyFont="1" applyFill="1" applyBorder="1" applyAlignment="1" applyProtection="1">
      <alignment horizontal="right" vertical="center"/>
    </xf>
    <xf numFmtId="0" fontId="10" fillId="14" borderId="93" xfId="0" applyFont="1" applyFill="1" applyBorder="1" applyAlignment="1" applyProtection="1">
      <alignment horizontal="right" vertical="center"/>
    </xf>
    <xf numFmtId="0" fontId="10" fillId="14" borderId="94" xfId="0" applyFont="1" applyFill="1" applyBorder="1" applyAlignment="1" applyProtection="1">
      <alignment horizontal="right" vertical="center"/>
    </xf>
    <xf numFmtId="169" fontId="11" fillId="15" borderId="91" xfId="0" applyNumberFormat="1" applyFont="1" applyFill="1" applyBorder="1" applyAlignment="1" applyProtection="1">
      <alignment horizontal="left" vertical="center" shrinkToFit="1"/>
    </xf>
    <xf numFmtId="0" fontId="12" fillId="15" borderId="91" xfId="0" applyFont="1" applyFill="1" applyBorder="1" applyAlignment="1" applyProtection="1">
      <alignment horizontal="right" vertical="center"/>
    </xf>
    <xf numFmtId="0" fontId="30" fillId="0" borderId="54" xfId="0" applyFont="1" applyBorder="1" applyAlignment="1" applyProtection="1">
      <alignment horizontal="center" vertical="center"/>
    </xf>
    <xf numFmtId="0" fontId="30" fillId="0" borderId="72" xfId="0" applyFont="1" applyBorder="1" applyAlignment="1" applyProtection="1">
      <alignment horizontal="center" vertical="center"/>
    </xf>
    <xf numFmtId="0" fontId="10" fillId="0" borderId="81" xfId="0" applyFont="1" applyBorder="1" applyAlignment="1" applyProtection="1">
      <alignment horizontal="center" vertical="center" wrapText="1"/>
      <protection locked="0"/>
    </xf>
    <xf numFmtId="0" fontId="10" fillId="0" borderId="78" xfId="0" applyFont="1" applyBorder="1" applyAlignment="1" applyProtection="1">
      <alignment horizontal="center" vertical="center" wrapText="1"/>
      <protection locked="0"/>
    </xf>
    <xf numFmtId="0" fontId="10" fillId="0" borderId="79" xfId="0" applyFont="1" applyBorder="1" applyAlignment="1" applyProtection="1">
      <alignment horizontal="center" vertical="center" wrapText="1"/>
      <protection locked="0"/>
    </xf>
    <xf numFmtId="0" fontId="14" fillId="0" borderId="78" xfId="0" applyFont="1" applyBorder="1" applyAlignment="1" applyProtection="1">
      <alignment horizontal="left" wrapText="1"/>
    </xf>
    <xf numFmtId="0" fontId="14" fillId="0" borderId="120" xfId="0" applyFont="1" applyBorder="1" applyAlignment="1" applyProtection="1">
      <alignment horizontal="left" wrapText="1"/>
    </xf>
    <xf numFmtId="0" fontId="14" fillId="0" borderId="0" xfId="0" applyFont="1" applyAlignment="1" applyProtection="1">
      <alignment horizontal="left" vertical="center" wrapText="1"/>
    </xf>
    <xf numFmtId="0" fontId="21" fillId="0" borderId="0" xfId="0" applyFont="1" applyAlignment="1" applyProtection="1">
      <alignment horizontal="left" wrapText="1"/>
    </xf>
    <xf numFmtId="0" fontId="85" fillId="0" borderId="80" xfId="0" applyFont="1" applyBorder="1" applyAlignment="1" applyProtection="1">
      <alignment horizontal="center" vertical="center" shrinkToFit="1"/>
    </xf>
    <xf numFmtId="0" fontId="21" fillId="0" borderId="0" xfId="0" applyFont="1" applyAlignment="1" applyProtection="1">
      <alignment vertical="center" wrapText="1"/>
    </xf>
    <xf numFmtId="0" fontId="14" fillId="0" borderId="0" xfId="0" applyFont="1" applyAlignment="1" applyProtection="1">
      <alignment vertical="center" wrapText="1"/>
    </xf>
    <xf numFmtId="0" fontId="31" fillId="0" borderId="0" xfId="0" applyFont="1" applyAlignment="1" applyProtection="1">
      <alignment vertical="center" wrapText="1"/>
    </xf>
    <xf numFmtId="0" fontId="45" fillId="11" borderId="11" xfId="0" applyFont="1" applyFill="1" applyBorder="1" applyAlignment="1" applyProtection="1">
      <alignment horizontal="center" vertical="center" shrinkToFit="1"/>
    </xf>
    <xf numFmtId="0" fontId="45" fillId="11" borderId="12" xfId="0" applyFont="1" applyFill="1" applyBorder="1" applyAlignment="1" applyProtection="1">
      <alignment horizontal="center" vertical="center" shrinkToFit="1"/>
    </xf>
    <xf numFmtId="0" fontId="14" fillId="0" borderId="78" xfId="0" applyFont="1" applyBorder="1" applyAlignment="1" applyProtection="1">
      <alignment horizontal="left" vertical="center" wrapText="1"/>
    </xf>
    <xf numFmtId="0" fontId="14" fillId="0" borderId="120" xfId="0" applyFont="1" applyBorder="1" applyAlignment="1" applyProtection="1">
      <alignment horizontal="left" vertical="center" wrapText="1"/>
    </xf>
    <xf numFmtId="0" fontId="21" fillId="0" borderId="78" xfId="0" applyFont="1" applyBorder="1" applyAlignment="1" applyProtection="1">
      <alignment horizontal="left" wrapText="1"/>
    </xf>
    <xf numFmtId="0" fontId="21" fillId="0" borderId="120" xfId="0" applyFont="1" applyBorder="1" applyAlignment="1" applyProtection="1">
      <alignment horizontal="left" wrapText="1"/>
    </xf>
    <xf numFmtId="0" fontId="24" fillId="0" borderId="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30" fillId="0" borderId="67" xfId="0" applyFont="1" applyBorder="1" applyAlignment="1" applyProtection="1">
      <alignment horizontal="center" vertical="center"/>
    </xf>
    <xf numFmtId="0" fontId="19" fillId="2" borderId="25" xfId="0" applyFont="1" applyFill="1" applyBorder="1" applyAlignment="1" applyProtection="1">
      <alignment horizontal="center"/>
      <protection locked="0"/>
    </xf>
    <xf numFmtId="0" fontId="19" fillId="2" borderId="26" xfId="0" applyFont="1" applyFill="1" applyBorder="1" applyAlignment="1" applyProtection="1">
      <alignment horizontal="center"/>
      <protection locked="0"/>
    </xf>
    <xf numFmtId="0" fontId="19" fillId="2" borderId="27" xfId="0" applyFont="1" applyFill="1" applyBorder="1" applyAlignment="1" applyProtection="1">
      <alignment horizontal="center"/>
      <protection locked="0"/>
    </xf>
    <xf numFmtId="0" fontId="19" fillId="0" borderId="26" xfId="0" applyFont="1" applyBorder="1" applyAlignment="1" applyProtection="1">
      <alignment horizontal="center"/>
      <protection locked="0"/>
    </xf>
    <xf numFmtId="0" fontId="19" fillId="0" borderId="27" xfId="0" applyFont="1" applyBorder="1" applyAlignment="1" applyProtection="1">
      <alignment horizontal="center"/>
      <protection locked="0"/>
    </xf>
    <xf numFmtId="0" fontId="24" fillId="0" borderId="10"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85" fillId="0" borderId="102" xfId="0" applyFont="1" applyBorder="1" applyAlignment="1" applyProtection="1">
      <alignment horizontal="center" vertical="center" wrapText="1"/>
    </xf>
    <xf numFmtId="0" fontId="49" fillId="14" borderId="73" xfId="0" applyNumberFormat="1" applyFont="1" applyFill="1" applyBorder="1" applyAlignment="1" applyProtection="1">
      <alignment horizontal="center" vertical="center"/>
      <protection locked="0"/>
    </xf>
    <xf numFmtId="0" fontId="28" fillId="0" borderId="102" xfId="0" applyFont="1" applyBorder="1" applyAlignment="1" applyProtection="1">
      <alignment horizontal="center" vertical="center" wrapText="1"/>
    </xf>
    <xf numFmtId="170" fontId="49" fillId="14" borderId="73" xfId="0" applyNumberFormat="1" applyFont="1" applyFill="1" applyBorder="1" applyAlignment="1" applyProtection="1">
      <alignment horizontal="center" vertical="center" wrapText="1"/>
      <protection locked="0"/>
    </xf>
    <xf numFmtId="0" fontId="46" fillId="2" borderId="12" xfId="0" applyFont="1" applyFill="1" applyBorder="1" applyAlignment="1" applyProtection="1">
      <alignment horizontal="center" vertical="center" shrinkToFit="1"/>
    </xf>
    <xf numFmtId="0" fontId="46" fillId="2" borderId="13" xfId="0" applyFont="1" applyFill="1" applyBorder="1" applyAlignment="1" applyProtection="1">
      <alignment horizontal="center" vertical="center" shrinkToFit="1"/>
    </xf>
    <xf numFmtId="0" fontId="29" fillId="0" borderId="0" xfId="0" applyFont="1" applyAlignment="1" applyProtection="1">
      <alignment horizontal="center" vertical="center"/>
    </xf>
    <xf numFmtId="0" fontId="33" fillId="0" borderId="0" xfId="0" applyNumberFormat="1" applyFont="1" applyAlignment="1" applyProtection="1">
      <alignment horizontal="center" vertical="center"/>
    </xf>
    <xf numFmtId="2" fontId="40" fillId="0" borderId="0" xfId="0" applyNumberFormat="1" applyFont="1" applyBorder="1" applyAlignment="1" applyProtection="1">
      <alignment horizontal="center" vertical="center"/>
      <protection locked="0"/>
    </xf>
    <xf numFmtId="0" fontId="42" fillId="0" borderId="0" xfId="0" applyFont="1" applyBorder="1" applyAlignment="1" applyProtection="1">
      <alignment horizontal="center"/>
      <protection locked="0"/>
    </xf>
    <xf numFmtId="0" fontId="22" fillId="0" borderId="8"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33" fillId="0" borderId="0" xfId="0" applyFont="1" applyBorder="1" applyAlignment="1" applyProtection="1">
      <alignment horizontal="center" vertical="center"/>
      <protection locked="0"/>
    </xf>
    <xf numFmtId="0" fontId="33" fillId="0" borderId="15" xfId="0" applyFont="1" applyBorder="1" applyAlignment="1" applyProtection="1">
      <alignment horizontal="center" vertical="center"/>
      <protection locked="0"/>
    </xf>
    <xf numFmtId="0" fontId="84" fillId="0" borderId="54" xfId="0" quotePrefix="1" applyFont="1" applyBorder="1" applyAlignment="1" applyProtection="1">
      <alignment horizontal="right" vertical="center"/>
    </xf>
    <xf numFmtId="0" fontId="84" fillId="0" borderId="72" xfId="0" quotePrefix="1" applyFont="1" applyBorder="1" applyAlignment="1" applyProtection="1">
      <alignment horizontal="right" vertical="center"/>
    </xf>
    <xf numFmtId="0" fontId="73" fillId="0" borderId="96" xfId="0" applyFont="1" applyBorder="1" applyAlignment="1" applyProtection="1">
      <alignment horizontal="right" vertical="center" wrapText="1" shrinkToFit="1"/>
      <protection hidden="1"/>
    </xf>
    <xf numFmtId="0" fontId="19" fillId="2" borderId="25" xfId="0" applyFont="1" applyFill="1" applyBorder="1" applyAlignment="1" applyProtection="1">
      <alignment horizontal="center" vertical="center"/>
      <protection locked="0"/>
    </xf>
    <xf numFmtId="0" fontId="19" fillId="2" borderId="27" xfId="0" applyFont="1" applyFill="1" applyBorder="1" applyAlignment="1" applyProtection="1">
      <alignment horizontal="center" vertical="center"/>
      <protection locked="0"/>
    </xf>
    <xf numFmtId="0" fontId="31" fillId="0" borderId="78" xfId="0" applyFont="1" applyBorder="1" applyAlignment="1" applyProtection="1">
      <alignment horizontal="left" wrapText="1"/>
    </xf>
    <xf numFmtId="0" fontId="20" fillId="0" borderId="10"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46" fillId="2" borderId="12" xfId="0" applyFont="1" applyFill="1" applyBorder="1" applyAlignment="1" applyProtection="1">
      <alignment horizontal="center" vertical="center"/>
    </xf>
    <xf numFmtId="0" fontId="46" fillId="2" borderId="13" xfId="0" applyFont="1" applyFill="1" applyBorder="1" applyAlignment="1" applyProtection="1">
      <alignment horizontal="center" vertical="center"/>
    </xf>
    <xf numFmtId="0" fontId="14" fillId="0" borderId="129" xfId="0" applyFont="1" applyBorder="1" applyAlignment="1" applyProtection="1">
      <alignment horizontal="center" vertical="center" wrapText="1"/>
    </xf>
    <xf numFmtId="0" fontId="14" fillId="0" borderId="78" xfId="0" applyFont="1" applyBorder="1" applyAlignment="1" applyProtection="1">
      <alignment horizontal="center" vertical="center" wrapText="1"/>
    </xf>
    <xf numFmtId="0" fontId="14" fillId="0" borderId="120" xfId="0" applyFont="1" applyBorder="1" applyAlignment="1" applyProtection="1">
      <alignment horizontal="center" vertical="center" wrapText="1"/>
    </xf>
    <xf numFmtId="0" fontId="30" fillId="2" borderId="118" xfId="0" applyFont="1" applyFill="1" applyBorder="1" applyAlignment="1" applyProtection="1">
      <alignment horizontal="center" shrinkToFit="1"/>
    </xf>
    <xf numFmtId="0" fontId="30" fillId="2" borderId="0" xfId="0" applyFont="1" applyFill="1" applyBorder="1" applyAlignment="1" applyProtection="1">
      <alignment horizontal="center" shrinkToFit="1"/>
    </xf>
    <xf numFmtId="0" fontId="30" fillId="2" borderId="119" xfId="0" applyFont="1" applyFill="1" applyBorder="1" applyAlignment="1" applyProtection="1">
      <alignment horizontal="center" shrinkToFit="1"/>
    </xf>
    <xf numFmtId="0" fontId="30" fillId="2" borderId="78" xfId="0" applyFont="1" applyFill="1" applyBorder="1" applyAlignment="1" applyProtection="1">
      <alignment horizontal="center" shrinkToFit="1"/>
    </xf>
    <xf numFmtId="0" fontId="30" fillId="0" borderId="73" xfId="0" applyFont="1" applyBorder="1" applyAlignment="1" applyProtection="1">
      <alignment horizontal="center" vertical="center"/>
    </xf>
    <xf numFmtId="0" fontId="10" fillId="0" borderId="80" xfId="0" applyFont="1" applyBorder="1" applyAlignment="1" applyProtection="1">
      <alignment horizontal="center" vertical="center" wrapText="1"/>
      <protection locked="0"/>
    </xf>
    <xf numFmtId="0" fontId="10" fillId="0" borderId="101" xfId="0" applyFont="1" applyBorder="1" applyAlignment="1" applyProtection="1">
      <alignment horizontal="center" vertical="center" wrapText="1"/>
    </xf>
    <xf numFmtId="0" fontId="10" fillId="0" borderId="117" xfId="0" applyFont="1" applyBorder="1" applyAlignment="1" applyProtection="1">
      <alignment horizontal="center" vertical="center" wrapText="1"/>
    </xf>
    <xf numFmtId="0" fontId="10" fillId="0" borderId="100" xfId="0" applyFont="1" applyBorder="1" applyAlignment="1" applyProtection="1">
      <alignment horizontal="center" vertical="center" wrapText="1"/>
    </xf>
    <xf numFmtId="0" fontId="26" fillId="14" borderId="67" xfId="0" applyFont="1" applyFill="1" applyBorder="1" applyAlignment="1" applyProtection="1">
      <alignment horizontal="center" vertical="center" shrinkToFit="1"/>
    </xf>
    <xf numFmtId="0" fontId="26" fillId="14" borderId="54" xfId="0" applyFont="1" applyFill="1" applyBorder="1" applyAlignment="1" applyProtection="1">
      <alignment horizontal="center" vertical="center" shrinkToFit="1"/>
    </xf>
    <xf numFmtId="0" fontId="26" fillId="14" borderId="72" xfId="0" applyFont="1" applyFill="1" applyBorder="1" applyAlignment="1" applyProtection="1">
      <alignment horizontal="center" vertical="center" shrinkToFit="1"/>
    </xf>
    <xf numFmtId="0" fontId="28" fillId="0" borderId="100" xfId="0" applyFont="1" applyBorder="1" applyAlignment="1" applyProtection="1">
      <alignment horizontal="center" vertical="center"/>
    </xf>
    <xf numFmtId="0" fontId="28" fillId="0" borderId="101" xfId="0" applyFont="1" applyBorder="1" applyAlignment="1" applyProtection="1">
      <alignment horizontal="center" vertical="center"/>
    </xf>
    <xf numFmtId="9" fontId="49" fillId="14" borderId="67"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9" fontId="49" fillId="14" borderId="72" xfId="0" applyNumberFormat="1" applyFont="1" applyFill="1" applyBorder="1" applyAlignment="1" applyProtection="1">
      <alignment horizontal="center" vertical="center" wrapText="1"/>
      <protection locked="0"/>
    </xf>
    <xf numFmtId="0" fontId="17" fillId="0" borderId="0" xfId="0" applyFont="1" applyAlignment="1" applyProtection="1">
      <alignment horizontal="center"/>
    </xf>
    <xf numFmtId="0" fontId="26" fillId="0" borderId="97" xfId="0" applyFont="1" applyBorder="1" applyAlignment="1" applyProtection="1">
      <alignment horizontal="left" vertical="center" shrinkToFit="1"/>
      <protection locked="0"/>
    </xf>
    <xf numFmtId="0" fontId="26" fillId="0" borderId="98" xfId="0" applyFont="1" applyBorder="1" applyAlignment="1" applyProtection="1">
      <alignment horizontal="left" vertical="center" shrinkToFit="1"/>
      <protection locked="0"/>
    </xf>
    <xf numFmtId="0" fontId="26" fillId="0" borderId="67" xfId="0" applyFont="1" applyBorder="1" applyAlignment="1" applyProtection="1">
      <alignment vertical="center"/>
      <protection locked="0"/>
    </xf>
    <xf numFmtId="0" fontId="26" fillId="0" borderId="54" xfId="0" applyFont="1" applyBorder="1" applyAlignment="1" applyProtection="1">
      <alignment vertical="center"/>
      <protection locked="0"/>
    </xf>
    <xf numFmtId="0" fontId="14" fillId="0" borderId="0" xfId="0" applyNumberFormat="1" applyFont="1" applyAlignment="1" applyProtection="1">
      <alignment horizontal="center"/>
    </xf>
    <xf numFmtId="14" fontId="26" fillId="14" borderId="73" xfId="0" applyNumberFormat="1" applyFont="1" applyFill="1" applyBorder="1" applyAlignment="1" applyProtection="1">
      <alignment horizontal="center" vertical="center" shrinkToFit="1"/>
      <protection locked="0"/>
    </xf>
    <xf numFmtId="0" fontId="28" fillId="0" borderId="80" xfId="0" applyFont="1" applyBorder="1" applyAlignment="1" applyProtection="1">
      <alignment horizontal="center" vertical="center" shrinkToFit="1"/>
    </xf>
    <xf numFmtId="0" fontId="28" fillId="0" borderId="98" xfId="0" applyFont="1" applyBorder="1" applyAlignment="1" applyProtection="1">
      <alignment horizontal="right" vertical="center"/>
    </xf>
    <xf numFmtId="0" fontId="28" fillId="0" borderId="99" xfId="0" applyFont="1" applyBorder="1" applyAlignment="1" applyProtection="1">
      <alignment horizontal="right" vertical="center"/>
    </xf>
    <xf numFmtId="0" fontId="28" fillId="0" borderId="101" xfId="0" applyFont="1" applyBorder="1" applyAlignment="1" applyProtection="1">
      <alignment horizontal="right" vertical="center"/>
    </xf>
    <xf numFmtId="0" fontId="28" fillId="0" borderId="117" xfId="0" applyFont="1" applyBorder="1" applyAlignment="1" applyProtection="1">
      <alignment horizontal="right" vertical="center"/>
    </xf>
    <xf numFmtId="0" fontId="28" fillId="12" borderId="10" xfId="0" applyFont="1" applyFill="1" applyBorder="1" applyAlignment="1" applyProtection="1">
      <alignment horizontal="center" vertical="center" wrapText="1"/>
    </xf>
    <xf numFmtId="0" fontId="28" fillId="12" borderId="14" xfId="0" applyFont="1" applyFill="1" applyBorder="1" applyAlignment="1" applyProtection="1">
      <alignment horizontal="center" vertical="center" wrapText="1"/>
    </xf>
    <xf numFmtId="0" fontId="26" fillId="12" borderId="14" xfId="0" applyFont="1" applyFill="1" applyBorder="1" applyAlignment="1" applyProtection="1">
      <alignment horizontal="center" vertical="center" wrapText="1"/>
    </xf>
    <xf numFmtId="0" fontId="28" fillId="12" borderId="9" xfId="0" applyFont="1" applyFill="1" applyBorder="1" applyAlignment="1" applyProtection="1">
      <alignment horizontal="center" vertical="center" wrapText="1"/>
    </xf>
    <xf numFmtId="0" fontId="28" fillId="12" borderId="16" xfId="0" applyFont="1" applyFill="1" applyBorder="1" applyAlignment="1" applyProtection="1">
      <alignment horizontal="center" vertical="center" wrapText="1"/>
    </xf>
    <xf numFmtId="0" fontId="28" fillId="12" borderId="18" xfId="0" applyFont="1" applyFill="1" applyBorder="1" applyAlignment="1" applyProtection="1">
      <alignment horizontal="center" vertical="center" wrapText="1"/>
    </xf>
    <xf numFmtId="0" fontId="28" fillId="12" borderId="17" xfId="0"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Alignment="1" applyProtection="1">
      <alignment horizontal="center"/>
      <protection locked="0"/>
    </xf>
    <xf numFmtId="0" fontId="19" fillId="0" borderId="1" xfId="0" applyFont="1" applyBorder="1" applyAlignment="1" applyProtection="1">
      <alignment horizontal="center"/>
      <protection locked="0"/>
    </xf>
    <xf numFmtId="0" fontId="14" fillId="0" borderId="98" xfId="0" applyFont="1" applyBorder="1" applyAlignment="1" applyProtection="1">
      <alignment vertical="center" wrapText="1"/>
    </xf>
    <xf numFmtId="166" fontId="14" fillId="0" borderId="54" xfId="0" applyNumberFormat="1" applyFont="1" applyBorder="1" applyAlignment="1" applyProtection="1">
      <alignment horizontal="left" vertical="center" wrapText="1"/>
    </xf>
    <xf numFmtId="0" fontId="28" fillId="0" borderId="67" xfId="0" applyNumberFormat="1" applyFont="1" applyFill="1" applyBorder="1" applyAlignment="1" applyProtection="1">
      <alignment horizontal="center" vertical="center" wrapText="1"/>
    </xf>
    <xf numFmtId="0" fontId="28" fillId="0" borderId="54" xfId="0" applyFont="1" applyFill="1" applyBorder="1" applyAlignment="1" applyProtection="1">
      <alignment horizontal="center" vertical="center" wrapText="1"/>
    </xf>
    <xf numFmtId="0" fontId="26" fillId="0" borderId="67" xfId="0" applyFont="1" applyFill="1" applyBorder="1" applyAlignment="1" applyProtection="1">
      <alignment horizontal="left" vertical="center" wrapText="1"/>
      <protection locked="0"/>
    </xf>
    <xf numFmtId="0" fontId="26" fillId="0" borderId="54" xfId="0" applyFont="1" applyFill="1" applyBorder="1" applyAlignment="1" applyProtection="1">
      <alignment horizontal="left" vertical="center" wrapText="1"/>
      <protection locked="0"/>
    </xf>
    <xf numFmtId="0" fontId="26" fillId="0" borderId="72" xfId="0" applyFont="1" applyFill="1" applyBorder="1" applyAlignment="1" applyProtection="1">
      <alignment horizontal="left" vertical="center" wrapText="1"/>
      <protection locked="0"/>
    </xf>
    <xf numFmtId="0" fontId="28" fillId="0" borderId="80" xfId="0" applyNumberFormat="1" applyFont="1" applyBorder="1" applyAlignment="1" applyProtection="1">
      <alignment horizontal="center" vertical="center" wrapText="1"/>
    </xf>
    <xf numFmtId="0" fontId="28" fillId="0" borderId="80" xfId="0" applyFont="1" applyBorder="1" applyAlignment="1" applyProtection="1">
      <alignment horizontal="center" vertical="center" wrapText="1"/>
    </xf>
    <xf numFmtId="0" fontId="49" fillId="14" borderId="73" xfId="0" applyNumberFormat="1" applyFont="1" applyFill="1" applyBorder="1" applyAlignment="1" applyProtection="1">
      <alignment horizontal="center" vertical="center"/>
    </xf>
    <xf numFmtId="0" fontId="49" fillId="14" borderId="73" xfId="0" applyFont="1" applyFill="1" applyBorder="1" applyAlignment="1" applyProtection="1">
      <alignment horizontal="center" vertical="center"/>
    </xf>
    <xf numFmtId="170" fontId="49" fillId="14" borderId="73" xfId="0" applyNumberFormat="1" applyFont="1" applyFill="1" applyBorder="1" applyAlignment="1" applyProtection="1">
      <alignment horizontal="center" vertical="center"/>
    </xf>
    <xf numFmtId="0" fontId="14" fillId="0" borderId="0" xfId="0" applyNumberFormat="1" applyFont="1" applyBorder="1" applyAlignment="1" applyProtection="1">
      <alignment horizontal="center" vertical="center" shrinkToFit="1"/>
    </xf>
    <xf numFmtId="0" fontId="23" fillId="0" borderId="0" xfId="0" applyFont="1" applyBorder="1" applyAlignment="1" applyProtection="1">
      <alignment horizontal="center" vertical="center" shrinkToFit="1"/>
    </xf>
    <xf numFmtId="0" fontId="28" fillId="0" borderId="97" xfId="0" applyFont="1" applyBorder="1" applyAlignment="1" applyProtection="1">
      <alignment horizontal="center" vertical="center" shrinkToFit="1"/>
    </xf>
    <xf numFmtId="0" fontId="28" fillId="0" borderId="98" xfId="0" applyFont="1" applyBorder="1" applyAlignment="1" applyProtection="1">
      <alignment horizontal="center" vertical="center" shrinkToFit="1"/>
    </xf>
    <xf numFmtId="0" fontId="28" fillId="0" borderId="99" xfId="0" applyFont="1" applyBorder="1" applyAlignment="1" applyProtection="1">
      <alignment horizontal="center" vertical="center" shrinkToFit="1"/>
    </xf>
    <xf numFmtId="0" fontId="32" fillId="0" borderId="78" xfId="0" applyFont="1" applyBorder="1" applyAlignment="1" applyProtection="1">
      <alignment horizontal="left" wrapText="1"/>
    </xf>
    <xf numFmtId="0" fontId="19" fillId="0" borderId="25" xfId="0" applyFont="1" applyBorder="1" applyAlignment="1" applyProtection="1">
      <alignment horizontal="center"/>
      <protection locked="0"/>
    </xf>
    <xf numFmtId="0" fontId="26" fillId="14" borderId="81" xfId="0" applyFont="1" applyFill="1" applyBorder="1" applyAlignment="1" applyProtection="1">
      <alignment horizontal="center" vertical="center" shrinkToFit="1"/>
    </xf>
    <xf numFmtId="0" fontId="26" fillId="14" borderId="78" xfId="0" applyFont="1" applyFill="1" applyBorder="1" applyAlignment="1" applyProtection="1">
      <alignment horizontal="center" vertical="center" shrinkToFit="1"/>
    </xf>
    <xf numFmtId="0" fontId="26" fillId="14" borderId="79" xfId="0" applyFont="1" applyFill="1" applyBorder="1" applyAlignment="1" applyProtection="1">
      <alignment horizontal="center" vertical="center" shrinkToFit="1"/>
    </xf>
    <xf numFmtId="0" fontId="14" fillId="0" borderId="0" xfId="0" applyFont="1" applyBorder="1" applyAlignment="1" applyProtection="1">
      <alignment horizontal="left" wrapText="1"/>
    </xf>
    <xf numFmtId="0" fontId="14" fillId="0" borderId="15" xfId="0" applyFont="1" applyBorder="1" applyAlignment="1" applyProtection="1">
      <alignment horizontal="left" wrapText="1"/>
    </xf>
    <xf numFmtId="0" fontId="17" fillId="0" borderId="0" xfId="0" applyFont="1" applyAlignment="1" applyProtection="1">
      <alignment horizontal="center" wrapText="1"/>
      <protection locked="0"/>
    </xf>
    <xf numFmtId="0" fontId="19" fillId="0" borderId="0" xfId="0" applyFont="1" applyAlignment="1" applyProtection="1">
      <alignment horizontal="center" wrapText="1"/>
      <protection locked="0"/>
    </xf>
    <xf numFmtId="14" fontId="17" fillId="0" borderId="0" xfId="0" applyNumberFormat="1" applyFont="1" applyAlignment="1" applyProtection="1">
      <alignment horizontal="center"/>
      <protection locked="0"/>
    </xf>
    <xf numFmtId="0" fontId="21" fillId="12" borderId="78" xfId="0" applyFont="1" applyFill="1" applyBorder="1" applyAlignment="1" applyProtection="1">
      <alignment horizontal="left" wrapText="1"/>
    </xf>
    <xf numFmtId="0" fontId="21" fillId="12" borderId="120" xfId="0" applyFont="1" applyFill="1" applyBorder="1" applyAlignment="1" applyProtection="1">
      <alignment horizontal="left" wrapText="1"/>
    </xf>
    <xf numFmtId="0" fontId="12" fillId="15" borderId="54" xfId="0" applyFont="1" applyFill="1" applyBorder="1" applyAlignment="1" applyProtection="1">
      <alignment horizontal="right" vertical="center"/>
    </xf>
    <xf numFmtId="166" fontId="13" fillId="14" borderId="94" xfId="0" applyNumberFormat="1" applyFont="1" applyFill="1" applyBorder="1" applyAlignment="1" applyProtection="1">
      <alignment horizontal="left" vertical="center" shrinkToFit="1"/>
    </xf>
    <xf numFmtId="0" fontId="12" fillId="15" borderId="94" xfId="0" applyFont="1" applyFill="1" applyBorder="1" applyAlignment="1" applyProtection="1">
      <alignment horizontal="right" vertical="center"/>
    </xf>
    <xf numFmtId="0" fontId="68" fillId="2" borderId="11" xfId="0" applyFont="1" applyFill="1" applyBorder="1" applyAlignment="1" applyProtection="1">
      <alignment horizontal="left" vertical="center" shrinkToFit="1"/>
    </xf>
    <xf numFmtId="0" fontId="68" fillId="2" borderId="12" xfId="0" applyFont="1" applyFill="1" applyBorder="1" applyAlignment="1" applyProtection="1">
      <alignment horizontal="left" vertical="center" shrinkToFit="1"/>
    </xf>
    <xf numFmtId="0" fontId="18" fillId="2" borderId="12" xfId="0" applyFont="1" applyFill="1" applyBorder="1" applyAlignment="1" applyProtection="1">
      <alignment horizontal="right" vertical="center" shrinkToFit="1"/>
    </xf>
    <xf numFmtId="0" fontId="18" fillId="2" borderId="13" xfId="0" applyFont="1" applyFill="1" applyBorder="1" applyAlignment="1" applyProtection="1">
      <alignment horizontal="right" vertical="center" shrinkToFit="1"/>
    </xf>
    <xf numFmtId="0" fontId="14" fillId="0" borderId="54" xfId="0" applyFont="1" applyBorder="1" applyAlignment="1" applyProtection="1">
      <alignment vertical="center" wrapText="1"/>
      <protection locked="0"/>
    </xf>
    <xf numFmtId="0" fontId="15" fillId="0" borderId="0" xfId="0" applyFont="1" applyAlignment="1" applyProtection="1">
      <alignment horizontal="left" wrapText="1"/>
      <protection locked="0"/>
    </xf>
    <xf numFmtId="0" fontId="18" fillId="0" borderId="98" xfId="0" applyFont="1" applyBorder="1" applyAlignment="1" applyProtection="1">
      <alignment horizontal="center" vertical="center"/>
      <protection locked="0"/>
    </xf>
    <xf numFmtId="0" fontId="109" fillId="0" borderId="128" xfId="0" applyFont="1" applyBorder="1" applyAlignment="1" applyProtection="1">
      <alignment horizontal="center" vertical="center"/>
      <protection locked="0"/>
    </xf>
    <xf numFmtId="0" fontId="109" fillId="0" borderId="98" xfId="0" applyFont="1" applyBorder="1" applyAlignment="1" applyProtection="1">
      <alignment horizontal="center" vertical="center"/>
      <protection locked="0"/>
    </xf>
    <xf numFmtId="0" fontId="30" fillId="0" borderId="88" xfId="0" applyFont="1" applyBorder="1" applyAlignment="1" applyProtection="1">
      <alignment horizontal="center" vertical="center"/>
    </xf>
    <xf numFmtId="0" fontId="19" fillId="0" borderId="0" xfId="0" applyFont="1" applyAlignment="1" applyProtection="1">
      <alignment horizontal="left" wrapText="1"/>
      <protection locked="0"/>
    </xf>
    <xf numFmtId="0" fontId="19" fillId="0" borderId="0" xfId="0" applyFont="1" applyAlignment="1" applyProtection="1">
      <alignment horizontal="center" vertical="center"/>
      <protection locked="0" hidden="1"/>
    </xf>
    <xf numFmtId="0" fontId="18" fillId="0" borderId="2" xfId="0" applyFont="1" applyBorder="1" applyAlignment="1" applyProtection="1">
      <alignment horizontal="left" wrapText="1"/>
      <protection locked="0" hidden="1"/>
    </xf>
    <xf numFmtId="0" fontId="24" fillId="0" borderId="16"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7" fillId="2" borderId="11" xfId="0" applyFont="1" applyFill="1" applyBorder="1" applyAlignment="1" applyProtection="1">
      <alignment horizontal="center" vertical="center" shrinkToFit="1"/>
    </xf>
    <xf numFmtId="0" fontId="27" fillId="2" borderId="12" xfId="0" applyFont="1" applyFill="1" applyBorder="1" applyAlignment="1" applyProtection="1">
      <alignment horizontal="center" vertical="center" shrinkToFit="1"/>
    </xf>
    <xf numFmtId="0" fontId="27" fillId="2" borderId="13" xfId="0" applyFont="1" applyFill="1" applyBorder="1" applyAlignment="1" applyProtection="1">
      <alignment horizontal="center" vertical="center" shrinkToFit="1"/>
    </xf>
    <xf numFmtId="0" fontId="91" fillId="0" borderId="8" xfId="0" applyNumberFormat="1" applyFont="1" applyFill="1" applyBorder="1" applyAlignment="1" applyProtection="1">
      <alignment horizontal="center" vertical="center" shrinkToFit="1"/>
    </xf>
    <xf numFmtId="0" fontId="91" fillId="0" borderId="0" xfId="0" applyNumberFormat="1" applyFont="1" applyFill="1" applyBorder="1" applyAlignment="1" applyProtection="1">
      <alignment horizontal="center" vertical="center" shrinkToFit="1"/>
    </xf>
    <xf numFmtId="0" fontId="91" fillId="0" borderId="15" xfId="0" applyNumberFormat="1" applyFont="1" applyFill="1" applyBorder="1" applyAlignment="1" applyProtection="1">
      <alignment horizontal="center" vertical="center" shrinkToFit="1"/>
    </xf>
    <xf numFmtId="0" fontId="91" fillId="0" borderId="16" xfId="0" applyFont="1" applyFill="1" applyBorder="1" applyAlignment="1" applyProtection="1">
      <alignment horizontal="center" vertical="center" shrinkToFit="1"/>
    </xf>
    <xf numFmtId="0" fontId="91" fillId="0" borderId="18" xfId="0" applyFont="1" applyFill="1" applyBorder="1" applyAlignment="1" applyProtection="1">
      <alignment horizontal="center" vertical="center" shrinkToFit="1"/>
    </xf>
    <xf numFmtId="0" fontId="91" fillId="0" borderId="17" xfId="0" applyFont="1" applyFill="1" applyBorder="1" applyAlignment="1" applyProtection="1">
      <alignment horizontal="center" vertical="center" shrinkToFit="1"/>
    </xf>
    <xf numFmtId="0" fontId="88" fillId="0" borderId="10" xfId="0" applyFont="1" applyFill="1" applyBorder="1" applyAlignment="1" applyProtection="1">
      <alignment horizontal="center" vertical="center" shrinkToFit="1"/>
    </xf>
    <xf numFmtId="0" fontId="88" fillId="0" borderId="14" xfId="0" applyFont="1" applyFill="1" applyBorder="1" applyAlignment="1" applyProtection="1">
      <alignment horizontal="center" vertical="center" shrinkToFit="1"/>
    </xf>
    <xf numFmtId="0" fontId="88" fillId="0" borderId="9" xfId="0" applyFont="1" applyFill="1" applyBorder="1" applyAlignment="1" applyProtection="1">
      <alignment horizontal="center" vertical="center" shrinkToFit="1"/>
    </xf>
    <xf numFmtId="171" fontId="91" fillId="0" borderId="16" xfId="0" applyNumberFormat="1" applyFont="1" applyFill="1" applyBorder="1" applyAlignment="1" applyProtection="1">
      <alignment horizontal="center" vertical="center" shrinkToFit="1"/>
    </xf>
    <xf numFmtId="171" fontId="91" fillId="0" borderId="18" xfId="0" applyNumberFormat="1" applyFont="1" applyFill="1" applyBorder="1" applyAlignment="1" applyProtection="1">
      <alignment horizontal="center" vertical="center" shrinkToFit="1"/>
    </xf>
    <xf numFmtId="171" fontId="91" fillId="0" borderId="17" xfId="0" applyNumberFormat="1" applyFont="1" applyFill="1" applyBorder="1" applyAlignment="1" applyProtection="1">
      <alignment horizontal="center" vertical="center" shrinkToFit="1"/>
    </xf>
    <xf numFmtId="0" fontId="89" fillId="0" borderId="10" xfId="0" applyNumberFormat="1" applyFont="1" applyFill="1" applyBorder="1" applyAlignment="1" applyProtection="1">
      <alignment horizontal="center" vertical="center" shrinkToFit="1"/>
    </xf>
    <xf numFmtId="0" fontId="89" fillId="0" borderId="14" xfId="0" applyFont="1" applyFill="1" applyBorder="1" applyAlignment="1" applyProtection="1">
      <alignment horizontal="center" vertical="center" shrinkToFit="1"/>
    </xf>
    <xf numFmtId="0" fontId="89" fillId="0" borderId="9" xfId="0" applyFont="1" applyFill="1" applyBorder="1" applyAlignment="1" applyProtection="1">
      <alignment horizontal="center" vertical="center" shrinkToFit="1"/>
    </xf>
    <xf numFmtId="0" fontId="91" fillId="0" borderId="16" xfId="0" applyNumberFormat="1" applyFont="1" applyFill="1" applyBorder="1" applyAlignment="1" applyProtection="1">
      <alignment horizontal="center" vertical="center" shrinkToFit="1"/>
    </xf>
    <xf numFmtId="166" fontId="91" fillId="0" borderId="16" xfId="0" applyNumberFormat="1" applyFont="1" applyFill="1" applyBorder="1" applyAlignment="1" applyProtection="1">
      <alignment horizontal="center" vertical="center" shrinkToFit="1"/>
    </xf>
    <xf numFmtId="166" fontId="91" fillId="0" borderId="18" xfId="0" applyNumberFormat="1" applyFont="1" applyFill="1" applyBorder="1" applyAlignment="1" applyProtection="1">
      <alignment horizontal="center" vertical="center" shrinkToFit="1"/>
    </xf>
    <xf numFmtId="166" fontId="91" fillId="0" borderId="17" xfId="0" applyNumberFormat="1" applyFont="1" applyFill="1" applyBorder="1" applyAlignment="1" applyProtection="1">
      <alignment horizontal="center" vertical="center" shrinkToFit="1"/>
    </xf>
    <xf numFmtId="0" fontId="88" fillId="0" borderId="10" xfId="0" applyNumberFormat="1" applyFont="1" applyFill="1" applyBorder="1" applyAlignment="1" applyProtection="1">
      <alignment horizontal="center" vertical="center" shrinkToFit="1"/>
    </xf>
    <xf numFmtId="0" fontId="90" fillId="0" borderId="8" xfId="0" applyFont="1" applyFill="1" applyBorder="1" applyAlignment="1" applyProtection="1">
      <alignment horizontal="center" vertical="center" shrinkToFit="1"/>
    </xf>
    <xf numFmtId="0" fontId="90" fillId="0" borderId="0" xfId="0" applyFont="1" applyFill="1" applyBorder="1" applyAlignment="1" applyProtection="1">
      <alignment horizontal="center" vertical="center" shrinkToFit="1"/>
    </xf>
    <xf numFmtId="0" fontId="90" fillId="0" borderId="15" xfId="0" applyFont="1" applyFill="1" applyBorder="1" applyAlignment="1" applyProtection="1">
      <alignment horizontal="center" vertical="center" shrinkToFit="1"/>
    </xf>
    <xf numFmtId="169" fontId="90" fillId="0" borderId="8" xfId="0" applyNumberFormat="1" applyFont="1" applyFill="1" applyBorder="1" applyAlignment="1" applyProtection="1">
      <alignment horizontal="center" vertical="center" wrapText="1" shrinkToFit="1"/>
    </xf>
    <xf numFmtId="169" fontId="90" fillId="0" borderId="0" xfId="0" applyNumberFormat="1" applyFont="1" applyFill="1" applyBorder="1" applyAlignment="1" applyProtection="1">
      <alignment horizontal="center" vertical="center" wrapText="1" shrinkToFit="1"/>
    </xf>
    <xf numFmtId="169" fontId="90" fillId="0" borderId="15" xfId="0" applyNumberFormat="1" applyFont="1" applyFill="1" applyBorder="1" applyAlignment="1" applyProtection="1">
      <alignment horizontal="center" vertical="center" wrapText="1" shrinkToFit="1"/>
    </xf>
    <xf numFmtId="0" fontId="15" fillId="0" borderId="0" xfId="0" applyFont="1" applyFill="1" applyBorder="1" applyAlignment="1" applyProtection="1">
      <alignment horizontal="right" vertical="center"/>
    </xf>
    <xf numFmtId="166" fontId="21" fillId="0" borderId="0" xfId="0" applyNumberFormat="1" applyFont="1" applyFill="1" applyBorder="1" applyAlignment="1" applyProtection="1">
      <alignment horizontal="left" vertical="center" shrinkToFit="1"/>
    </xf>
    <xf numFmtId="0" fontId="15" fillId="0" borderId="0" xfId="0" applyFont="1" applyFill="1" applyBorder="1" applyAlignment="1" applyProtection="1">
      <alignment horizontal="right" vertical="center" shrinkToFit="1"/>
    </xf>
    <xf numFmtId="0" fontId="21" fillId="0" borderId="0" xfId="0" applyFont="1" applyFill="1" applyBorder="1" applyAlignment="1" applyProtection="1">
      <alignment horizontal="left" vertical="center" shrinkToFit="1"/>
    </xf>
    <xf numFmtId="166" fontId="26" fillId="0" borderId="11" xfId="0" applyNumberFormat="1" applyFont="1" applyFill="1" applyBorder="1" applyAlignment="1" applyProtection="1">
      <alignment horizontal="center" vertical="center" wrapText="1"/>
    </xf>
    <xf numFmtId="166" fontId="26" fillId="0" borderId="12" xfId="0" applyNumberFormat="1" applyFont="1" applyFill="1" applyBorder="1" applyAlignment="1" applyProtection="1">
      <alignment horizontal="center" vertical="center"/>
    </xf>
    <xf numFmtId="166" fontId="26" fillId="0" borderId="13" xfId="0" applyNumberFormat="1" applyFont="1" applyFill="1" applyBorder="1" applyAlignment="1" applyProtection="1">
      <alignment horizontal="center" vertical="center"/>
    </xf>
    <xf numFmtId="0" fontId="92" fillId="11" borderId="11" xfId="0" applyFont="1" applyFill="1" applyBorder="1" applyAlignment="1" applyProtection="1">
      <alignment horizontal="center" vertical="center" wrapText="1" shrinkToFit="1"/>
    </xf>
    <xf numFmtId="0" fontId="92" fillId="11" borderId="12" xfId="0" applyFont="1" applyFill="1" applyBorder="1" applyAlignment="1" applyProtection="1">
      <alignment horizontal="center" vertical="center" shrinkToFit="1"/>
    </xf>
    <xf numFmtId="0" fontId="92" fillId="11" borderId="13" xfId="0" applyFont="1" applyFill="1" applyBorder="1" applyAlignment="1" applyProtection="1">
      <alignment horizontal="center" vertical="center" shrinkToFit="1"/>
    </xf>
    <xf numFmtId="0" fontId="17" fillId="0" borderId="0" xfId="0" applyFont="1" applyBorder="1" applyAlignment="1" applyProtection="1">
      <alignment horizontal="center"/>
    </xf>
    <xf numFmtId="0" fontId="87" fillId="0" borderId="10" xfId="0" applyFont="1" applyFill="1" applyBorder="1" applyAlignment="1" applyProtection="1">
      <alignment horizontal="center" vertical="center" shrinkToFit="1"/>
    </xf>
    <xf numFmtId="0" fontId="87" fillId="0" borderId="14" xfId="0" applyFont="1" applyFill="1" applyBorder="1" applyAlignment="1" applyProtection="1">
      <alignment horizontal="center" vertical="center" shrinkToFit="1"/>
    </xf>
    <xf numFmtId="0" fontId="87" fillId="0" borderId="9" xfId="0" applyFont="1" applyFill="1" applyBorder="1" applyAlignment="1" applyProtection="1">
      <alignment horizontal="center" vertical="center" shrinkToFit="1"/>
    </xf>
    <xf numFmtId="0" fontId="67" fillId="0" borderId="16" xfId="0" applyFont="1" applyFill="1" applyBorder="1" applyAlignment="1" applyProtection="1">
      <alignment horizontal="center" vertical="center" shrinkToFit="1"/>
    </xf>
    <xf numFmtId="0" fontId="67" fillId="0" borderId="18" xfId="0" applyFont="1" applyFill="1" applyBorder="1" applyAlignment="1" applyProtection="1">
      <alignment horizontal="center" vertical="center" shrinkToFit="1"/>
    </xf>
    <xf numFmtId="0" fontId="67" fillId="0" borderId="17" xfId="0" applyFont="1" applyFill="1" applyBorder="1" applyAlignment="1" applyProtection="1">
      <alignment horizontal="center" vertical="center" shrinkToFit="1"/>
    </xf>
    <xf numFmtId="169" fontId="90" fillId="0" borderId="16" xfId="0" applyNumberFormat="1" applyFont="1" applyFill="1" applyBorder="1" applyAlignment="1" applyProtection="1">
      <alignment horizontal="center" vertical="center" shrinkToFit="1"/>
    </xf>
    <xf numFmtId="169" fontId="90" fillId="0" borderId="18" xfId="0" applyNumberFormat="1" applyFont="1" applyFill="1" applyBorder="1" applyAlignment="1" applyProtection="1">
      <alignment horizontal="center" vertical="center" shrinkToFit="1"/>
    </xf>
    <xf numFmtId="169" fontId="90" fillId="0" borderId="17" xfId="0" applyNumberFormat="1" applyFont="1" applyFill="1" applyBorder="1" applyAlignment="1" applyProtection="1">
      <alignment horizontal="center" vertical="center" shrinkToFit="1"/>
    </xf>
    <xf numFmtId="0" fontId="88" fillId="0" borderId="10" xfId="0" applyFont="1" applyFill="1" applyBorder="1" applyAlignment="1" applyProtection="1">
      <alignment horizontal="center" vertical="center"/>
    </xf>
    <xf numFmtId="0" fontId="88" fillId="0" borderId="14" xfId="0" applyFont="1" applyFill="1" applyBorder="1" applyAlignment="1" applyProtection="1">
      <alignment horizontal="center" vertical="center"/>
    </xf>
    <xf numFmtId="0" fontId="88" fillId="0" borderId="9" xfId="0" applyFont="1" applyFill="1" applyBorder="1" applyAlignment="1" applyProtection="1">
      <alignment horizontal="center" vertical="center"/>
    </xf>
    <xf numFmtId="0" fontId="91" fillId="0" borderId="18" xfId="0" applyNumberFormat="1" applyFont="1" applyFill="1" applyBorder="1" applyAlignment="1" applyProtection="1">
      <alignment horizontal="center" vertical="center" shrinkToFit="1"/>
    </xf>
    <xf numFmtId="0" fontId="91" fillId="0" borderId="17" xfId="0" applyNumberFormat="1" applyFont="1" applyFill="1" applyBorder="1" applyAlignment="1" applyProtection="1">
      <alignment horizontal="center" vertical="center" shrinkToFit="1"/>
    </xf>
    <xf numFmtId="0" fontId="68" fillId="11" borderId="25" xfId="0" applyFont="1" applyFill="1" applyBorder="1" applyAlignment="1" applyProtection="1">
      <alignment horizontal="center" vertical="center" shrinkToFit="1"/>
      <protection hidden="1"/>
    </xf>
    <xf numFmtId="0" fontId="68" fillId="11" borderId="26" xfId="0" applyFont="1" applyFill="1" applyBorder="1" applyAlignment="1" applyProtection="1">
      <alignment horizontal="center" vertical="center" shrinkToFit="1"/>
      <protection hidden="1"/>
    </xf>
    <xf numFmtId="0" fontId="27" fillId="0" borderId="61" xfId="0" applyFont="1" applyBorder="1" applyAlignment="1" applyProtection="1">
      <alignment horizontal="left" vertical="center" shrinkToFit="1"/>
      <protection hidden="1"/>
    </xf>
    <xf numFmtId="0" fontId="27" fillId="0" borderId="62" xfId="0" applyFont="1" applyBorder="1" applyAlignment="1" applyProtection="1">
      <alignment horizontal="left" vertical="center" shrinkToFit="1"/>
      <protection hidden="1"/>
    </xf>
    <xf numFmtId="0" fontId="19" fillId="0" borderId="7"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50" fillId="0" borderId="2" xfId="0" applyFont="1" applyBorder="1" applyAlignment="1" applyProtection="1">
      <alignment horizontal="left"/>
      <protection hidden="1"/>
    </xf>
    <xf numFmtId="0" fontId="52" fillId="0" borderId="39" xfId="0" applyFont="1" applyBorder="1" applyAlignment="1" applyProtection="1">
      <alignment horizontal="right" vertical="center" shrinkToFit="1"/>
      <protection hidden="1"/>
    </xf>
    <xf numFmtId="0" fontId="52" fillId="0" borderId="69" xfId="0" applyFont="1" applyBorder="1" applyAlignment="1" applyProtection="1">
      <alignment horizontal="right" vertical="center" shrinkToFit="1"/>
      <protection hidden="1"/>
    </xf>
    <xf numFmtId="0" fontId="52" fillId="0" borderId="40" xfId="0" applyFont="1" applyBorder="1" applyAlignment="1" applyProtection="1">
      <alignment horizontal="right" vertical="center" shrinkToFit="1"/>
      <protection hidden="1"/>
    </xf>
    <xf numFmtId="0" fontId="52" fillId="0" borderId="70" xfId="0" applyFont="1" applyBorder="1" applyAlignment="1" applyProtection="1">
      <alignment horizontal="right" vertical="center" shrinkToFit="1"/>
      <protection hidden="1"/>
    </xf>
    <xf numFmtId="0" fontId="52" fillId="0" borderId="41" xfId="0" applyFont="1" applyBorder="1" applyAlignment="1" applyProtection="1">
      <alignment horizontal="right" vertical="center" shrinkToFit="1"/>
      <protection hidden="1"/>
    </xf>
    <xf numFmtId="0" fontId="52" fillId="0" borderId="71" xfId="0" applyFont="1" applyBorder="1" applyAlignment="1" applyProtection="1">
      <alignment horizontal="right" vertical="center" shrinkToFit="1"/>
      <protection hidden="1"/>
    </xf>
    <xf numFmtId="0" fontId="27" fillId="0" borderId="57" xfId="0" applyNumberFormat="1" applyFont="1" applyBorder="1" applyAlignment="1" applyProtection="1">
      <alignment horizontal="left" vertical="center" shrinkToFit="1"/>
      <protection hidden="1"/>
    </xf>
    <xf numFmtId="0" fontId="27" fillId="0" borderId="58" xfId="0" applyNumberFormat="1" applyFont="1" applyBorder="1" applyAlignment="1" applyProtection="1">
      <alignment horizontal="left" vertical="center" shrinkToFit="1"/>
      <protection hidden="1"/>
    </xf>
    <xf numFmtId="0" fontId="27" fillId="0" borderId="59" xfId="0" applyFont="1" applyBorder="1" applyAlignment="1" applyProtection="1">
      <alignment horizontal="left" vertical="center" shrinkToFit="1"/>
      <protection hidden="1"/>
    </xf>
    <xf numFmtId="0" fontId="27" fillId="0" borderId="60" xfId="0" applyFont="1" applyBorder="1" applyAlignment="1" applyProtection="1">
      <alignment horizontal="left" vertical="center" shrinkToFit="1"/>
      <protection hidden="1"/>
    </xf>
    <xf numFmtId="0" fontId="52" fillId="0" borderId="33" xfId="0" quotePrefix="1" applyFont="1" applyBorder="1" applyAlignment="1" applyProtection="1">
      <alignment horizontal="right" vertical="center" shrinkToFit="1"/>
      <protection hidden="1"/>
    </xf>
    <xf numFmtId="0" fontId="49" fillId="0" borderId="55" xfId="0" applyFont="1" applyBorder="1" applyAlignment="1" applyProtection="1">
      <alignment horizontal="left" vertical="center"/>
      <protection hidden="1"/>
    </xf>
    <xf numFmtId="0" fontId="49" fillId="0" borderId="62" xfId="0" applyFont="1" applyBorder="1" applyAlignment="1" applyProtection="1">
      <alignment horizontal="left" vertical="center"/>
      <protection hidden="1"/>
    </xf>
    <xf numFmtId="0" fontId="49" fillId="0" borderId="65" xfId="0" applyFont="1" applyBorder="1" applyAlignment="1" applyProtection="1">
      <alignment horizontal="left" vertical="center"/>
      <protection hidden="1"/>
    </xf>
    <xf numFmtId="0" fontId="50" fillId="2" borderId="26" xfId="0" applyFont="1" applyFill="1" applyBorder="1" applyAlignment="1" applyProtection="1">
      <alignment horizontal="left" vertical="center" shrinkToFit="1"/>
      <protection hidden="1"/>
    </xf>
    <xf numFmtId="0" fontId="50" fillId="9" borderId="26" xfId="0" applyFont="1" applyFill="1" applyBorder="1" applyAlignment="1" applyProtection="1">
      <alignment horizontal="center" vertical="center" shrinkToFit="1"/>
      <protection hidden="1"/>
    </xf>
    <xf numFmtId="0" fontId="50" fillId="9" borderId="27" xfId="0" applyFont="1" applyFill="1" applyBorder="1" applyAlignment="1" applyProtection="1">
      <alignment horizontal="center" vertical="center" shrinkToFit="1"/>
      <protection hidden="1"/>
    </xf>
    <xf numFmtId="0" fontId="26" fillId="3" borderId="21" xfId="0" applyNumberFormat="1" applyFont="1" applyFill="1" applyBorder="1" applyAlignment="1" applyProtection="1">
      <alignment horizontal="left" vertical="center" shrinkToFit="1"/>
      <protection hidden="1"/>
    </xf>
    <xf numFmtId="0" fontId="26" fillId="3" borderId="23" xfId="0" applyNumberFormat="1" applyFont="1" applyFill="1" applyBorder="1" applyAlignment="1" applyProtection="1">
      <alignment horizontal="left" vertical="center" shrinkToFit="1"/>
      <protection hidden="1"/>
    </xf>
    <xf numFmtId="0" fontId="26" fillId="3" borderId="12" xfId="0" applyFont="1" applyFill="1" applyBorder="1" applyAlignment="1" applyProtection="1">
      <alignment horizontal="left" vertical="center" shrinkToFit="1"/>
      <protection hidden="1"/>
    </xf>
    <xf numFmtId="0" fontId="26" fillId="3" borderId="24" xfId="0" applyFont="1" applyFill="1" applyBorder="1" applyAlignment="1" applyProtection="1">
      <alignment horizontal="left" vertical="center" shrinkToFit="1"/>
      <protection hidden="1"/>
    </xf>
    <xf numFmtId="0" fontId="26" fillId="3" borderId="20" xfId="0" applyFont="1" applyFill="1" applyBorder="1" applyAlignment="1" applyProtection="1">
      <alignment horizontal="left" vertical="center" shrinkToFit="1"/>
      <protection hidden="1"/>
    </xf>
    <xf numFmtId="0" fontId="26" fillId="3" borderId="22" xfId="0" applyFont="1" applyFill="1" applyBorder="1" applyAlignment="1" applyProtection="1">
      <alignment horizontal="left" vertical="center" shrinkToFit="1"/>
      <protection hidden="1"/>
    </xf>
    <xf numFmtId="0" fontId="52" fillId="0" borderId="31" xfId="0" quotePrefix="1" applyFont="1" applyBorder="1" applyAlignment="1" applyProtection="1">
      <alignment horizontal="right" vertical="center" shrinkToFit="1"/>
      <protection hidden="1"/>
    </xf>
    <xf numFmtId="0" fontId="52" fillId="0" borderId="31" xfId="0" applyFont="1" applyBorder="1" applyAlignment="1" applyProtection="1">
      <alignment horizontal="right" vertical="center" shrinkToFit="1"/>
      <protection hidden="1"/>
    </xf>
    <xf numFmtId="0" fontId="28" fillId="3" borderId="30" xfId="0" applyFont="1" applyFill="1" applyBorder="1" applyAlignment="1" applyProtection="1">
      <alignment horizontal="right" vertical="center"/>
      <protection hidden="1"/>
    </xf>
    <xf numFmtId="0" fontId="28" fillId="3" borderId="21" xfId="0" applyFont="1" applyFill="1" applyBorder="1" applyAlignment="1" applyProtection="1">
      <alignment horizontal="right" vertical="center"/>
      <protection hidden="1"/>
    </xf>
    <xf numFmtId="166" fontId="26" fillId="3" borderId="20" xfId="0" applyNumberFormat="1" applyFont="1" applyFill="1" applyBorder="1" applyAlignment="1" applyProtection="1">
      <alignment horizontal="left" vertical="center" shrinkToFit="1"/>
      <protection hidden="1"/>
    </xf>
    <xf numFmtId="0" fontId="85" fillId="13" borderId="12" xfId="0" applyFont="1" applyFill="1" applyBorder="1" applyAlignment="1" applyProtection="1">
      <alignment horizontal="right" vertical="center"/>
      <protection hidden="1"/>
    </xf>
    <xf numFmtId="0" fontId="28" fillId="3" borderId="28" xfId="0" applyFont="1" applyFill="1" applyBorder="1" applyAlignment="1" applyProtection="1">
      <alignment horizontal="right" vertical="center" shrinkToFit="1"/>
      <protection hidden="1"/>
    </xf>
    <xf numFmtId="0" fontId="28" fillId="3" borderId="11" xfId="0" applyFont="1" applyFill="1" applyBorder="1" applyAlignment="1" applyProtection="1">
      <alignment horizontal="right" vertical="center" shrinkToFit="1"/>
      <protection hidden="1"/>
    </xf>
    <xf numFmtId="0" fontId="28" fillId="3" borderId="28" xfId="0" applyFont="1" applyFill="1" applyBorder="1" applyAlignment="1" applyProtection="1">
      <alignment horizontal="right" vertical="center"/>
      <protection hidden="1"/>
    </xf>
    <xf numFmtId="0" fontId="28" fillId="3" borderId="11" xfId="0" applyFont="1" applyFill="1" applyBorder="1" applyAlignment="1" applyProtection="1">
      <alignment horizontal="right" vertical="center"/>
      <protection hidden="1"/>
    </xf>
    <xf numFmtId="0" fontId="49" fillId="0" borderId="53" xfId="0" applyFont="1" applyBorder="1" applyAlignment="1" applyProtection="1">
      <alignment horizontal="left" vertical="center" shrinkToFit="1"/>
      <protection hidden="1"/>
    </xf>
    <xf numFmtId="0" fontId="49" fillId="0" borderId="60" xfId="0" applyFont="1" applyBorder="1" applyAlignment="1" applyProtection="1">
      <alignment horizontal="left" vertical="center" shrinkToFit="1"/>
      <protection hidden="1"/>
    </xf>
    <xf numFmtId="0" fontId="49" fillId="0" borderId="64" xfId="0" applyFont="1" applyBorder="1" applyAlignment="1" applyProtection="1">
      <alignment horizontal="left" vertical="center" shrinkToFit="1"/>
      <protection hidden="1"/>
    </xf>
    <xf numFmtId="0" fontId="52" fillId="0" borderId="38" xfId="0" applyFont="1" applyBorder="1" applyAlignment="1" applyProtection="1">
      <alignment horizontal="right" vertical="center" shrinkToFit="1"/>
      <protection hidden="1"/>
    </xf>
    <xf numFmtId="169" fontId="76" fillId="3" borderId="21" xfId="0" applyNumberFormat="1" applyFont="1" applyFill="1" applyBorder="1" applyAlignment="1" applyProtection="1">
      <alignment horizontal="left" vertical="center" shrinkToFit="1"/>
      <protection hidden="1"/>
    </xf>
    <xf numFmtId="0" fontId="85" fillId="13" borderId="21" xfId="0" applyFont="1" applyFill="1" applyBorder="1" applyAlignment="1" applyProtection="1">
      <alignment horizontal="right" vertical="center"/>
      <protection hidden="1"/>
    </xf>
    <xf numFmtId="0" fontId="28" fillId="3" borderId="29" xfId="0" applyFont="1" applyFill="1" applyBorder="1" applyAlignment="1" applyProtection="1">
      <alignment horizontal="right" vertical="center"/>
      <protection hidden="1"/>
    </xf>
    <xf numFmtId="0" fontId="28" fillId="3" borderId="19" xfId="0" applyFont="1" applyFill="1" applyBorder="1" applyAlignment="1" applyProtection="1">
      <alignment horizontal="right" vertical="center"/>
      <protection hidden="1"/>
    </xf>
    <xf numFmtId="0" fontId="49" fillId="0" borderId="51" xfId="0" applyFont="1" applyBorder="1" applyAlignment="1" applyProtection="1">
      <alignment horizontal="left" vertical="center" shrinkToFit="1"/>
      <protection hidden="1"/>
    </xf>
    <xf numFmtId="0" fontId="49" fillId="0" borderId="58" xfId="0" applyFont="1" applyBorder="1" applyAlignment="1" applyProtection="1">
      <alignment horizontal="left" vertical="center" shrinkToFit="1"/>
      <protection hidden="1"/>
    </xf>
    <xf numFmtId="0" fontId="49" fillId="0" borderId="63" xfId="0" applyFont="1" applyBorder="1" applyAlignment="1" applyProtection="1">
      <alignment horizontal="left" vertical="center" shrinkToFit="1"/>
      <protection hidden="1"/>
    </xf>
    <xf numFmtId="0" fontId="17" fillId="0" borderId="0" xfId="0" applyFont="1" applyBorder="1" applyAlignment="1" applyProtection="1">
      <alignment horizontal="center"/>
      <protection hidden="1"/>
    </xf>
    <xf numFmtId="0" fontId="17" fillId="0" borderId="43" xfId="0" applyFont="1" applyBorder="1" applyAlignment="1" applyProtection="1">
      <alignment horizontal="center"/>
      <protection hidden="1"/>
    </xf>
    <xf numFmtId="0" fontId="16" fillId="0" borderId="67" xfId="0" applyFont="1" applyBorder="1" applyAlignment="1" applyProtection="1">
      <alignment horizontal="left" vertical="center"/>
      <protection locked="0" hidden="1"/>
    </xf>
    <xf numFmtId="0" fontId="16" fillId="0" borderId="54" xfId="0" applyFont="1" applyBorder="1" applyAlignment="1" applyProtection="1">
      <alignment horizontal="left" vertical="center"/>
      <protection locked="0" hidden="1"/>
    </xf>
    <xf numFmtId="0" fontId="16" fillId="0" borderId="53" xfId="0" applyFont="1" applyBorder="1" applyAlignment="1" applyProtection="1">
      <alignment horizontal="left" vertical="center"/>
      <protection locked="0" hidden="1"/>
    </xf>
    <xf numFmtId="0" fontId="15" fillId="0" borderId="39" xfId="0" applyFont="1" applyBorder="1" applyAlignment="1" applyProtection="1">
      <alignment horizontal="right" vertical="center"/>
      <protection hidden="1"/>
    </xf>
    <xf numFmtId="0" fontId="15" fillId="0" borderId="69" xfId="0" applyFont="1" applyBorder="1" applyAlignment="1" applyProtection="1">
      <alignment horizontal="right" vertical="center"/>
      <protection hidden="1"/>
    </xf>
    <xf numFmtId="0" fontId="16" fillId="0" borderId="66" xfId="0" applyFont="1" applyBorder="1" applyAlignment="1" applyProtection="1">
      <alignment horizontal="left" vertical="center"/>
      <protection locked="0" hidden="1"/>
    </xf>
    <xf numFmtId="0" fontId="16" fillId="0" borderId="52" xfId="0" applyFont="1" applyBorder="1" applyAlignment="1" applyProtection="1">
      <alignment horizontal="left" vertical="center"/>
      <protection locked="0" hidden="1"/>
    </xf>
    <xf numFmtId="0" fontId="16" fillId="0" borderId="51" xfId="0" applyFont="1" applyBorder="1" applyAlignment="1" applyProtection="1">
      <alignment horizontal="left" vertical="center"/>
      <protection locked="0" hidden="1"/>
    </xf>
    <xf numFmtId="0" fontId="15" fillId="0" borderId="38" xfId="0" applyFont="1" applyBorder="1" applyAlignment="1" applyProtection="1">
      <alignment horizontal="right" vertical="center"/>
      <protection hidden="1"/>
    </xf>
    <xf numFmtId="0" fontId="18" fillId="0" borderId="42" xfId="0" applyFont="1" applyBorder="1" applyAlignment="1" applyProtection="1">
      <alignment horizontal="center" vertical="center" shrinkToFit="1"/>
      <protection hidden="1"/>
    </xf>
    <xf numFmtId="0" fontId="18" fillId="0" borderId="82" xfId="0" applyFont="1" applyBorder="1" applyAlignment="1" applyProtection="1">
      <alignment horizontal="center" vertical="center" shrinkToFit="1"/>
      <protection hidden="1"/>
    </xf>
    <xf numFmtId="0" fontId="18" fillId="0" borderId="45" xfId="0" applyFont="1" applyBorder="1" applyAlignment="1" applyProtection="1">
      <alignment horizontal="center" vertical="center" shrinkToFit="1"/>
      <protection hidden="1"/>
    </xf>
    <xf numFmtId="0" fontId="18" fillId="0" borderId="83" xfId="0" applyFont="1" applyBorder="1" applyAlignment="1" applyProtection="1">
      <alignment horizontal="center" vertical="center" shrinkToFit="1"/>
      <protection hidden="1"/>
    </xf>
    <xf numFmtId="0" fontId="19" fillId="0" borderId="0" xfId="0" applyFont="1" applyFill="1" applyBorder="1" applyAlignment="1" applyProtection="1">
      <alignment horizontal="center" vertical="center"/>
      <protection hidden="1"/>
    </xf>
    <xf numFmtId="0" fontId="24" fillId="0" borderId="47" xfId="0" applyFont="1" applyFill="1" applyBorder="1" applyAlignment="1" applyProtection="1">
      <alignment horizontal="center" vertical="center" shrinkToFit="1"/>
      <protection hidden="1"/>
    </xf>
    <xf numFmtId="0" fontId="21" fillId="5" borderId="50" xfId="0" applyNumberFormat="1" applyFont="1" applyFill="1" applyBorder="1" applyAlignment="1" applyProtection="1">
      <alignment horizontal="center" vertical="center" shrinkToFit="1"/>
      <protection locked="0" hidden="1"/>
    </xf>
    <xf numFmtId="0" fontId="15" fillId="0" borderId="33" xfId="0" quotePrefix="1" applyFont="1" applyBorder="1" applyAlignment="1" applyProtection="1">
      <alignment horizontal="right" vertical="center"/>
      <protection hidden="1"/>
    </xf>
    <xf numFmtId="0" fontId="22" fillId="0" borderId="56" xfId="0" applyFont="1" applyBorder="1" applyAlignment="1" applyProtection="1">
      <alignment horizontal="left" vertical="center"/>
      <protection locked="0" hidden="1"/>
    </xf>
    <xf numFmtId="175" fontId="49" fillId="0" borderId="50" xfId="0" applyNumberFormat="1" applyFont="1" applyBorder="1" applyAlignment="1" applyProtection="1">
      <alignment horizontal="center" vertical="center"/>
      <protection locked="0" hidden="1"/>
    </xf>
    <xf numFmtId="0" fontId="21" fillId="0" borderId="52" xfId="0" applyFont="1" applyBorder="1" applyAlignment="1" applyProtection="1">
      <alignment horizontal="left" vertical="center"/>
      <protection locked="0" hidden="1"/>
    </xf>
    <xf numFmtId="0" fontId="14" fillId="0" borderId="34" xfId="0" applyFont="1" applyBorder="1" applyAlignment="1" applyProtection="1">
      <alignment horizontal="center" vertical="center" wrapText="1"/>
      <protection hidden="1"/>
    </xf>
    <xf numFmtId="0" fontId="14" fillId="0" borderId="37" xfId="0" applyFont="1" applyBorder="1" applyAlignment="1" applyProtection="1">
      <alignment horizontal="center" vertical="center" wrapText="1"/>
      <protection hidden="1"/>
    </xf>
    <xf numFmtId="0" fontId="80" fillId="0" borderId="0" xfId="0" applyFont="1" applyAlignment="1" applyProtection="1">
      <alignment horizontal="center" vertical="center" wrapText="1" shrinkToFit="1"/>
      <protection hidden="1"/>
    </xf>
    <xf numFmtId="0" fontId="38" fillId="0" borderId="0" xfId="0" applyFont="1" applyAlignment="1" applyProtection="1">
      <alignment horizontal="center" vertical="center" wrapText="1" shrinkToFit="1"/>
      <protection hidden="1"/>
    </xf>
    <xf numFmtId="0" fontId="93" fillId="0" borderId="0" xfId="0" applyFont="1" applyAlignment="1" applyProtection="1">
      <alignment vertical="center" wrapText="1" shrinkToFit="1"/>
      <protection hidden="1"/>
    </xf>
    <xf numFmtId="0" fontId="95" fillId="0" borderId="0" xfId="0" applyFont="1" applyAlignment="1" applyProtection="1">
      <alignment wrapText="1"/>
      <protection hidden="1"/>
    </xf>
    <xf numFmtId="0" fontId="96" fillId="0" borderId="0" xfId="0" applyFont="1" applyAlignment="1" applyProtection="1">
      <alignment vertical="center" wrapText="1" shrinkToFit="1"/>
      <protection hidden="1"/>
    </xf>
    <xf numFmtId="0" fontId="95" fillId="0" borderId="0" xfId="0" applyFont="1" applyAlignment="1" applyProtection="1">
      <alignment vertical="center" wrapText="1" shrinkToFit="1"/>
      <protection hidden="1"/>
    </xf>
    <xf numFmtId="0" fontId="94" fillId="0" borderId="0" xfId="0" applyFont="1" applyAlignment="1" applyProtection="1">
      <alignment vertical="center" wrapText="1" shrinkToFit="1"/>
      <protection hidden="1"/>
    </xf>
    <xf numFmtId="0" fontId="38" fillId="0" borderId="0" xfId="0" applyFont="1" applyAlignment="1" applyProtection="1">
      <alignment horizontal="center" wrapText="1"/>
      <protection hidden="1"/>
    </xf>
    <xf numFmtId="0" fontId="35" fillId="0" borderId="0" xfId="0" applyFont="1" applyBorder="1" applyAlignment="1" applyProtection="1">
      <alignment horizontal="center" vertical="center" wrapText="1" shrinkToFit="1"/>
      <protection hidden="1"/>
    </xf>
    <xf numFmtId="0" fontId="80" fillId="0" borderId="0" xfId="0" applyFont="1" applyAlignment="1" applyProtection="1">
      <alignment horizontal="center" wrapText="1"/>
      <protection hidden="1"/>
    </xf>
    <xf numFmtId="0" fontId="19" fillId="0" borderId="123" xfId="0" applyFont="1" applyBorder="1" applyAlignment="1" applyProtection="1">
      <alignment horizontal="center" vertical="top" wrapText="1"/>
      <protection locked="0" hidden="1"/>
    </xf>
    <xf numFmtId="0" fontId="19" fillId="0" borderId="124" xfId="0" applyFont="1" applyBorder="1" applyAlignment="1" applyProtection="1">
      <alignment horizontal="center" vertical="top" wrapText="1"/>
      <protection locked="0" hidden="1"/>
    </xf>
    <xf numFmtId="0" fontId="19" fillId="0" borderId="122" xfId="0" applyFont="1" applyBorder="1" applyAlignment="1" applyProtection="1">
      <alignment horizontal="center" vertical="top" wrapText="1"/>
      <protection locked="0" hidden="1"/>
    </xf>
    <xf numFmtId="0" fontId="75" fillId="0" borderId="47" xfId="0" applyFont="1" applyBorder="1" applyAlignment="1" applyProtection="1">
      <alignment horizontal="center" vertical="center" shrinkToFit="1"/>
      <protection hidden="1"/>
    </xf>
    <xf numFmtId="0" fontId="44" fillId="0" borderId="0" xfId="0" applyFont="1" applyBorder="1" applyAlignment="1" applyProtection="1">
      <alignment horizontal="center" vertical="center"/>
      <protection hidden="1"/>
    </xf>
    <xf numFmtId="0" fontId="10" fillId="0" borderId="48" xfId="0" applyFont="1" applyBorder="1" applyAlignment="1" applyProtection="1">
      <alignment horizontal="center" vertical="center" wrapText="1"/>
      <protection hidden="1"/>
    </xf>
    <xf numFmtId="0" fontId="19" fillId="0" borderId="7" xfId="0" applyFont="1" applyFill="1" applyBorder="1" applyAlignment="1" applyProtection="1">
      <alignment horizontal="left" vertical="center" wrapText="1" shrinkToFit="1"/>
      <protection hidden="1"/>
    </xf>
    <xf numFmtId="0" fontId="14" fillId="0" borderId="125" xfId="0" applyFont="1" applyBorder="1" applyAlignment="1" applyProtection="1">
      <alignment horizontal="center" vertical="center" shrinkToFit="1"/>
      <protection hidden="1"/>
    </xf>
    <xf numFmtId="0" fontId="14" fillId="0" borderId="126" xfId="0" applyFont="1" applyBorder="1" applyAlignment="1" applyProtection="1">
      <alignment horizontal="center" vertical="center" shrinkToFit="1"/>
      <protection hidden="1"/>
    </xf>
    <xf numFmtId="0" fontId="14" fillId="0" borderId="127" xfId="0" applyFont="1" applyBorder="1" applyAlignment="1" applyProtection="1">
      <alignment horizontal="center" vertical="center" shrinkToFit="1"/>
      <protection hidden="1"/>
    </xf>
    <xf numFmtId="0" fontId="18" fillId="0" borderId="2" xfId="0" applyFont="1" applyBorder="1" applyAlignment="1" applyProtection="1">
      <alignment horizontal="left"/>
      <protection hidden="1"/>
    </xf>
    <xf numFmtId="0" fontId="24" fillId="0" borderId="46" xfId="0" applyFont="1" applyFill="1" applyBorder="1" applyAlignment="1" applyProtection="1">
      <alignment horizontal="center" vertical="center" shrinkToFit="1"/>
      <protection hidden="1"/>
    </xf>
    <xf numFmtId="0" fontId="19" fillId="0" borderId="84" xfId="0" applyFont="1" applyBorder="1" applyAlignment="1" applyProtection="1">
      <alignment horizontal="center" vertical="top" wrapText="1"/>
      <protection locked="0" hidden="1"/>
    </xf>
    <xf numFmtId="0" fontId="19" fillId="0" borderId="85" xfId="0" applyFont="1" applyBorder="1" applyAlignment="1" applyProtection="1">
      <alignment horizontal="center" vertical="top" wrapText="1"/>
      <protection locked="0" hidden="1"/>
    </xf>
    <xf numFmtId="0" fontId="17" fillId="0" borderId="0" xfId="0" applyFont="1" applyAlignment="1" applyProtection="1">
      <alignment horizontal="center" wrapText="1"/>
      <protection hidden="1"/>
    </xf>
    <xf numFmtId="0" fontId="17" fillId="0" borderId="0" xfId="0" applyFont="1" applyAlignment="1" applyProtection="1">
      <alignment horizontal="center"/>
      <protection hidden="1"/>
    </xf>
    <xf numFmtId="0" fontId="19" fillId="0" borderId="0" xfId="0" applyFont="1" applyBorder="1" applyAlignment="1" applyProtection="1">
      <alignment horizontal="center" vertical="center"/>
      <protection hidden="1"/>
    </xf>
    <xf numFmtId="0" fontId="95" fillId="0" borderId="0" xfId="0" applyFont="1" applyAlignment="1" applyProtection="1">
      <alignment vertical="top" wrapText="1"/>
      <protection hidden="1"/>
    </xf>
    <xf numFmtId="0" fontId="19" fillId="0" borderId="45" xfId="0" applyFont="1" applyBorder="1" applyAlignment="1" applyProtection="1">
      <alignment horizontal="center" vertical="center"/>
      <protection hidden="1"/>
    </xf>
    <xf numFmtId="0" fontId="15" fillId="0" borderId="40" xfId="0" applyFont="1" applyBorder="1" applyAlignment="1" applyProtection="1">
      <alignment horizontal="right" vertical="center" shrinkToFit="1"/>
      <protection hidden="1"/>
    </xf>
    <xf numFmtId="0" fontId="15" fillId="0" borderId="70" xfId="0" applyFont="1" applyBorder="1" applyAlignment="1" applyProtection="1">
      <alignment horizontal="right" vertical="center" shrinkToFit="1"/>
      <protection hidden="1"/>
    </xf>
    <xf numFmtId="0" fontId="15" fillId="0" borderId="31" xfId="0" applyFont="1" applyBorder="1" applyAlignment="1" applyProtection="1">
      <alignment horizontal="right" vertical="center"/>
      <protection hidden="1"/>
    </xf>
    <xf numFmtId="0" fontId="18" fillId="0" borderId="35" xfId="0" applyFont="1" applyBorder="1" applyAlignment="1" applyProtection="1">
      <alignment horizontal="center" vertical="center" shrinkToFit="1"/>
      <protection hidden="1"/>
    </xf>
    <xf numFmtId="0" fontId="19" fillId="0" borderId="57" xfId="0" applyFont="1" applyBorder="1" applyAlignment="1" applyProtection="1">
      <alignment horizontal="center" vertical="center" shrinkToFit="1"/>
      <protection hidden="1"/>
    </xf>
    <xf numFmtId="0" fontId="19" fillId="0" borderId="58" xfId="0" applyFont="1" applyBorder="1" applyAlignment="1" applyProtection="1">
      <alignment horizontal="center" vertical="center" shrinkToFit="1"/>
      <protection hidden="1"/>
    </xf>
    <xf numFmtId="0" fontId="19" fillId="0" borderId="63" xfId="0" applyFont="1" applyBorder="1" applyAlignment="1" applyProtection="1">
      <alignment horizontal="center" vertical="center" shrinkToFit="1"/>
      <protection hidden="1"/>
    </xf>
    <xf numFmtId="0" fontId="18" fillId="0" borderId="2" xfId="0" applyFont="1" applyBorder="1" applyAlignment="1" applyProtection="1">
      <alignment horizontal="left" wrapText="1"/>
      <protection hidden="1"/>
    </xf>
    <xf numFmtId="0" fontId="21" fillId="5" borderId="50" xfId="0" quotePrefix="1" applyNumberFormat="1" applyFont="1" applyFill="1" applyBorder="1" applyAlignment="1" applyProtection="1">
      <alignment horizontal="center" vertical="center" shrinkToFit="1"/>
      <protection locked="0" hidden="1"/>
    </xf>
    <xf numFmtId="0" fontId="21" fillId="0" borderId="50" xfId="0" quotePrefix="1" applyNumberFormat="1" applyFont="1" applyBorder="1" applyAlignment="1" applyProtection="1">
      <alignment horizontal="center" vertical="center" shrinkToFit="1"/>
      <protection locked="0" hidden="1"/>
    </xf>
    <xf numFmtId="0" fontId="21" fillId="5" borderId="49" xfId="0" applyNumberFormat="1" applyFont="1" applyFill="1" applyBorder="1" applyAlignment="1" applyProtection="1">
      <alignment horizontal="center" vertical="center" shrinkToFit="1"/>
      <protection locked="0" hidden="1"/>
    </xf>
    <xf numFmtId="0" fontId="22" fillId="6" borderId="50" xfId="0" applyNumberFormat="1" applyFont="1" applyFill="1" applyBorder="1" applyAlignment="1" applyProtection="1">
      <alignment horizontal="center" vertical="center" shrinkToFit="1"/>
      <protection locked="0" hidden="1"/>
    </xf>
    <xf numFmtId="0" fontId="75" fillId="0" borderId="47" xfId="0" applyFont="1" applyFill="1" applyBorder="1" applyAlignment="1" applyProtection="1">
      <alignment horizontal="center" vertical="center" shrinkToFit="1"/>
      <protection hidden="1"/>
    </xf>
    <xf numFmtId="0" fontId="5" fillId="0" borderId="48" xfId="0" applyFont="1" applyBorder="1" applyAlignment="1" applyProtection="1">
      <alignment horizontal="center" vertical="center" wrapText="1"/>
      <protection hidden="1"/>
    </xf>
    <xf numFmtId="0" fontId="21" fillId="0" borderId="54" xfId="0" applyFont="1" applyBorder="1" applyAlignment="1" applyProtection="1">
      <alignment horizontal="left" vertical="center"/>
      <protection locked="0" hidden="1"/>
    </xf>
    <xf numFmtId="0" fontId="15" fillId="0" borderId="41" xfId="0" applyFont="1" applyBorder="1" applyAlignment="1" applyProtection="1">
      <alignment horizontal="right" vertical="center" shrinkToFit="1"/>
      <protection hidden="1"/>
    </xf>
    <xf numFmtId="0" fontId="15" fillId="0" borderId="71" xfId="0" applyFont="1" applyBorder="1" applyAlignment="1" applyProtection="1">
      <alignment horizontal="right" vertical="center" shrinkToFit="1"/>
      <protection hidden="1"/>
    </xf>
    <xf numFmtId="0" fontId="16" fillId="0" borderId="68" xfId="0" applyFont="1" applyBorder="1" applyAlignment="1" applyProtection="1">
      <alignment horizontal="left" vertical="center"/>
      <protection locked="0" hidden="1"/>
    </xf>
    <xf numFmtId="0" fontId="16" fillId="0" borderId="56" xfId="0" applyFont="1" applyBorder="1" applyAlignment="1" applyProtection="1">
      <alignment horizontal="left" vertical="center"/>
      <protection locked="0" hidden="1"/>
    </xf>
    <xf numFmtId="0" fontId="16" fillId="0" borderId="55" xfId="0" applyFont="1" applyBorder="1" applyAlignment="1" applyProtection="1">
      <alignment horizontal="left" vertical="center"/>
      <protection locked="0" hidden="1"/>
    </xf>
    <xf numFmtId="165" fontId="107" fillId="0" borderId="11" xfId="0" applyNumberFormat="1" applyFont="1" applyBorder="1" applyAlignment="1">
      <alignment horizontal="center" vertical="center" shrinkToFit="1"/>
    </xf>
    <xf numFmtId="165" fontId="107" fillId="0" borderId="12" xfId="0" applyNumberFormat="1" applyFont="1" applyBorder="1" applyAlignment="1">
      <alignment horizontal="center" vertical="center" shrinkToFit="1"/>
    </xf>
    <xf numFmtId="3" fontId="108" fillId="0" borderId="11" xfId="0" applyNumberFormat="1" applyFont="1" applyBorder="1" applyAlignment="1">
      <alignment horizontal="center" vertical="center" shrinkToFit="1"/>
    </xf>
    <xf numFmtId="3" fontId="108" fillId="0" borderId="12" xfId="0" applyNumberFormat="1" applyFont="1" applyBorder="1" applyAlignment="1">
      <alignment horizontal="center" vertical="center" shrinkToFit="1"/>
    </xf>
    <xf numFmtId="3" fontId="108" fillId="0" borderId="13" xfId="0" applyNumberFormat="1" applyFont="1" applyBorder="1" applyAlignment="1">
      <alignment horizontal="center" vertical="center" shrinkToFit="1"/>
    </xf>
    <xf numFmtId="0" fontId="105" fillId="0" borderId="12" xfId="0" applyFont="1" applyBorder="1" applyAlignment="1">
      <alignment horizontal="center" vertical="center" wrapText="1" shrinkToFit="1"/>
    </xf>
    <xf numFmtId="0" fontId="8" fillId="0" borderId="0" xfId="0" applyFont="1" applyBorder="1" applyAlignment="1">
      <alignment horizontal="center"/>
    </xf>
    <xf numFmtId="0" fontId="103" fillId="0" borderId="3" xfId="0" applyFont="1" applyBorder="1" applyAlignment="1">
      <alignment horizontal="left" wrapText="1"/>
    </xf>
    <xf numFmtId="0" fontId="82" fillId="2" borderId="12" xfId="0" quotePrefix="1" applyFont="1" applyFill="1" applyBorder="1" applyAlignment="1">
      <alignment horizontal="left" vertical="center" wrapText="1" shrinkToFit="1"/>
    </xf>
    <xf numFmtId="0" fontId="82" fillId="2" borderId="13" xfId="0" quotePrefix="1" applyFont="1" applyFill="1" applyBorder="1" applyAlignment="1">
      <alignment horizontal="left" vertical="center" wrapText="1" shrinkToFit="1"/>
    </xf>
    <xf numFmtId="0" fontId="100" fillId="0" borderId="16" xfId="0" applyFont="1" applyBorder="1" applyAlignment="1">
      <alignment horizontal="right" vertical="center" wrapText="1" shrinkToFit="1"/>
    </xf>
    <xf numFmtId="0" fontId="100" fillId="0" borderId="18" xfId="0" applyFont="1" applyBorder="1" applyAlignment="1">
      <alignment horizontal="right" vertical="center" wrapText="1" shrinkToFit="1"/>
    </xf>
    <xf numFmtId="0" fontId="100" fillId="0" borderId="11" xfId="0" applyFont="1" applyBorder="1" applyAlignment="1">
      <alignment horizontal="right" vertical="center" wrapText="1" shrinkToFit="1"/>
    </xf>
    <xf numFmtId="0" fontId="100" fillId="0" borderId="12" xfId="0" applyFont="1" applyBorder="1" applyAlignment="1">
      <alignment horizontal="right" vertical="center" wrapText="1" shrinkToFit="1"/>
    </xf>
    <xf numFmtId="0" fontId="100" fillId="2" borderId="11" xfId="0" applyFont="1" applyFill="1" applyBorder="1" applyAlignment="1">
      <alignment horizontal="right" vertical="center" wrapText="1" shrinkToFit="1"/>
    </xf>
    <xf numFmtId="0" fontId="100" fillId="2" borderId="12" xfId="0" applyFont="1" applyFill="1" applyBorder="1" applyAlignment="1">
      <alignment horizontal="right" vertical="center" wrapText="1" shrinkToFit="1"/>
    </xf>
    <xf numFmtId="0" fontId="83" fillId="11" borderId="25" xfId="0" applyFont="1" applyFill="1" applyBorder="1" applyAlignment="1">
      <alignment horizontal="center" vertical="center" shrinkToFit="1"/>
    </xf>
    <xf numFmtId="0" fontId="83" fillId="11" borderId="26" xfId="0" applyFont="1" applyFill="1" applyBorder="1" applyAlignment="1">
      <alignment horizontal="center" vertical="center" shrinkToFit="1"/>
    </xf>
    <xf numFmtId="0" fontId="82" fillId="2" borderId="26" xfId="0" applyFont="1" applyFill="1" applyBorder="1" applyAlignment="1">
      <alignment horizontal="left" vertical="center" shrinkToFit="1"/>
    </xf>
    <xf numFmtId="0" fontId="82" fillId="10" borderId="26" xfId="0" applyFont="1" applyFill="1" applyBorder="1" applyAlignment="1">
      <alignment horizontal="center" vertical="center"/>
    </xf>
    <xf numFmtId="0" fontId="82" fillId="10" borderId="27" xfId="0" applyFont="1" applyFill="1" applyBorder="1" applyAlignment="1">
      <alignment horizontal="center" vertical="center"/>
    </xf>
    <xf numFmtId="0" fontId="82" fillId="2" borderId="18" xfId="0" applyFont="1" applyFill="1" applyBorder="1" applyAlignment="1">
      <alignment vertical="center" wrapText="1" shrinkToFit="1"/>
    </xf>
    <xf numFmtId="0" fontId="82" fillId="2" borderId="17" xfId="0" applyFont="1" applyFill="1" applyBorder="1" applyAlignment="1">
      <alignment vertical="center" wrapText="1" shrinkToFit="1"/>
    </xf>
    <xf numFmtId="0" fontId="82" fillId="0" borderId="12" xfId="0" applyFont="1" applyBorder="1" applyAlignment="1">
      <alignment vertical="center" wrapText="1" shrinkToFit="1"/>
    </xf>
    <xf numFmtId="0" fontId="82" fillId="0" borderId="13" xfId="0" applyFont="1" applyBorder="1" applyAlignment="1">
      <alignment vertical="center" wrapText="1" shrinkToFit="1"/>
    </xf>
    <xf numFmtId="0" fontId="115" fillId="0" borderId="8" xfId="0" applyFont="1" applyBorder="1" applyAlignment="1">
      <alignment horizontal="center" vertical="center" shrinkToFit="1"/>
    </xf>
    <xf numFmtId="0" fontId="115" fillId="0" borderId="0" xfId="0" applyFont="1" applyBorder="1" applyAlignment="1">
      <alignment horizontal="center" vertical="center" shrinkToFit="1"/>
    </xf>
    <xf numFmtId="0" fontId="115" fillId="0" borderId="15" xfId="0" applyFont="1" applyBorder="1" applyAlignment="1">
      <alignment horizontal="center" vertical="center" shrinkToFit="1"/>
    </xf>
    <xf numFmtId="0" fontId="83" fillId="2" borderId="18" xfId="0" applyFont="1" applyFill="1" applyBorder="1" applyAlignment="1">
      <alignment horizontal="left" vertical="center" shrinkToFit="1"/>
    </xf>
    <xf numFmtId="0" fontId="83" fillId="2" borderId="17" xfId="0" applyFont="1" applyFill="1" applyBorder="1" applyAlignment="1">
      <alignment horizontal="left" vertical="center" shrinkToFit="1"/>
    </xf>
    <xf numFmtId="0" fontId="101" fillId="2" borderId="16" xfId="0" applyFont="1" applyFill="1" applyBorder="1" applyAlignment="1">
      <alignment horizontal="right" vertical="center" wrapText="1" shrinkToFit="1"/>
    </xf>
    <xf numFmtId="0" fontId="101" fillId="2" borderId="18" xfId="0" applyFont="1" applyFill="1" applyBorder="1" applyAlignment="1">
      <alignment horizontal="right" vertical="center" wrapText="1" shrinkToFit="1"/>
    </xf>
    <xf numFmtId="0" fontId="82" fillId="0" borderId="18" xfId="0" applyFont="1" applyBorder="1" applyAlignment="1">
      <alignment horizontal="left" vertical="center" shrinkToFit="1"/>
    </xf>
    <xf numFmtId="0" fontId="82" fillId="0" borderId="17" xfId="0" applyFont="1" applyBorder="1" applyAlignment="1">
      <alignment horizontal="left" vertical="center" shrinkToFit="1"/>
    </xf>
    <xf numFmtId="0" fontId="100" fillId="2" borderId="16" xfId="0" applyFont="1" applyFill="1" applyBorder="1" applyAlignment="1">
      <alignment horizontal="right" vertical="center" wrapText="1" shrinkToFit="1"/>
    </xf>
    <xf numFmtId="0" fontId="100" fillId="2" borderId="18" xfId="0" applyFont="1" applyFill="1" applyBorder="1" applyAlignment="1">
      <alignment horizontal="right" vertical="center" wrapText="1" shrinkToFit="1"/>
    </xf>
    <xf numFmtId="0" fontId="82" fillId="2" borderId="6" xfId="0" applyFont="1" applyFill="1" applyBorder="1" applyAlignment="1">
      <alignment horizontal="left" vertical="center" wrapText="1" shrinkToFit="1"/>
    </xf>
    <xf numFmtId="0" fontId="82" fillId="2" borderId="77" xfId="0" applyFont="1" applyFill="1" applyBorder="1" applyAlignment="1">
      <alignment horizontal="left" vertical="center" wrapText="1" shrinkToFit="1"/>
    </xf>
    <xf numFmtId="0" fontId="82" fillId="2" borderId="18" xfId="0" applyFont="1" applyFill="1" applyBorder="1" applyAlignment="1">
      <alignment horizontal="left" vertical="center" shrinkToFit="1"/>
    </xf>
    <xf numFmtId="0" fontId="82" fillId="2" borderId="17" xfId="0" applyFont="1" applyFill="1" applyBorder="1" applyAlignment="1">
      <alignment horizontal="left" vertical="center" shrinkToFit="1"/>
    </xf>
    <xf numFmtId="0" fontId="114" fillId="0" borderId="16" xfId="0" applyFont="1" applyBorder="1" applyAlignment="1">
      <alignment horizontal="center" vertical="center" wrapText="1" shrinkToFit="1"/>
    </xf>
    <xf numFmtId="0" fontId="114" fillId="0" borderId="18" xfId="0" applyFont="1" applyBorder="1" applyAlignment="1">
      <alignment horizontal="center" vertical="center" wrapText="1" shrinkToFit="1"/>
    </xf>
    <xf numFmtId="0" fontId="114" fillId="0" borderId="17" xfId="0" applyFont="1" applyBorder="1" applyAlignment="1">
      <alignment horizontal="center" vertical="center" wrapText="1" shrinkToFit="1"/>
    </xf>
    <xf numFmtId="0" fontId="112" fillId="0" borderId="8" xfId="0" applyFont="1" applyFill="1" applyBorder="1" applyAlignment="1">
      <alignment horizontal="center" vertical="center" wrapText="1" shrinkToFit="1"/>
    </xf>
    <xf numFmtId="0" fontId="112" fillId="0" borderId="0" xfId="0" applyFont="1" applyFill="1" applyBorder="1" applyAlignment="1">
      <alignment horizontal="center" vertical="center" wrapText="1" shrinkToFit="1"/>
    </xf>
    <xf numFmtId="0" fontId="112" fillId="0" borderId="15" xfId="0" applyFont="1" applyFill="1" applyBorder="1" applyAlignment="1">
      <alignment horizontal="center" vertical="center" wrapText="1" shrinkToFit="1"/>
    </xf>
    <xf numFmtId="0" fontId="82" fillId="2" borderId="18" xfId="0" applyFont="1" applyFill="1" applyBorder="1" applyAlignment="1">
      <alignment horizontal="left" vertical="center" wrapText="1" shrinkToFit="1"/>
    </xf>
    <xf numFmtId="0" fontId="82" fillId="2" borderId="17" xfId="0" applyFont="1" applyFill="1" applyBorder="1" applyAlignment="1">
      <alignment horizontal="left" vertical="center" wrapText="1" shrinkToFit="1"/>
    </xf>
    <xf numFmtId="0" fontId="113" fillId="0" borderId="8" xfId="0" applyFont="1" applyFill="1" applyBorder="1" applyAlignment="1">
      <alignment horizontal="center" vertical="center" wrapText="1" shrinkToFit="1"/>
    </xf>
    <xf numFmtId="0" fontId="113" fillId="0" borderId="0" xfId="0" applyFont="1" applyFill="1" applyBorder="1" applyAlignment="1">
      <alignment horizontal="center" vertical="center" wrapText="1" shrinkToFit="1"/>
    </xf>
    <xf numFmtId="0" fontId="113" fillId="0" borderId="15" xfId="0" applyFont="1" applyFill="1" applyBorder="1" applyAlignment="1">
      <alignment horizontal="center" vertical="center" wrapText="1" shrinkToFit="1"/>
    </xf>
    <xf numFmtId="0" fontId="110" fillId="0" borderId="8" xfId="0" applyFont="1" applyBorder="1" applyAlignment="1">
      <alignment horizontal="center" vertical="center" wrapText="1" shrinkToFit="1"/>
    </xf>
    <xf numFmtId="0" fontId="110" fillId="0" borderId="0" xfId="0" applyFont="1" applyBorder="1" applyAlignment="1">
      <alignment horizontal="center" vertical="center" wrapText="1" shrinkToFit="1"/>
    </xf>
    <xf numFmtId="0" fontId="110" fillId="0" borderId="15" xfId="0" applyFont="1" applyBorder="1" applyAlignment="1">
      <alignment horizontal="center" vertical="center" wrapText="1" shrinkToFit="1"/>
    </xf>
    <xf numFmtId="0" fontId="103" fillId="0" borderId="48" xfId="0" applyFont="1" applyBorder="1" applyAlignment="1">
      <alignment horizontal="left" wrapText="1"/>
    </xf>
    <xf numFmtId="3" fontId="82" fillId="0" borderId="18" xfId="0" quotePrefix="1" applyNumberFormat="1" applyFont="1" applyBorder="1" applyAlignment="1">
      <alignment horizontal="left" vertical="center" wrapText="1" shrinkToFit="1"/>
    </xf>
    <xf numFmtId="3" fontId="82" fillId="0" borderId="17" xfId="0" quotePrefix="1" applyNumberFormat="1" applyFont="1" applyBorder="1" applyAlignment="1">
      <alignment horizontal="left" vertical="center" wrapText="1" shrinkToFit="1"/>
    </xf>
    <xf numFmtId="0" fontId="103" fillId="0" borderId="2" xfId="0" applyFont="1" applyBorder="1" applyAlignment="1">
      <alignment horizontal="left" wrapText="1"/>
    </xf>
    <xf numFmtId="9" fontId="82" fillId="0" borderId="12" xfId="0" applyNumberFormat="1" applyFont="1" applyBorder="1" applyAlignment="1">
      <alignment horizontal="left" vertical="center" wrapText="1" shrinkToFit="1"/>
    </xf>
    <xf numFmtId="9" fontId="82" fillId="0" borderId="13" xfId="0" applyNumberFormat="1" applyFont="1" applyBorder="1" applyAlignment="1">
      <alignment horizontal="left" vertical="center" wrapText="1" shrinkToFit="1"/>
    </xf>
    <xf numFmtId="0" fontId="82" fillId="0" borderId="12" xfId="0" applyFont="1" applyBorder="1" applyAlignment="1">
      <alignment horizontal="left" vertical="center" wrapText="1" shrinkToFit="1"/>
    </xf>
    <xf numFmtId="0" fontId="82" fillId="0" borderId="13" xfId="0" applyFont="1" applyBorder="1" applyAlignment="1">
      <alignment horizontal="left" vertical="center" wrapText="1" shrinkToFit="1"/>
    </xf>
    <xf numFmtId="0" fontId="82" fillId="0" borderId="18" xfId="0" applyFont="1" applyBorder="1" applyAlignment="1">
      <alignment horizontal="left" vertical="center" wrapText="1" shrinkToFit="1"/>
    </xf>
    <xf numFmtId="0" fontId="82" fillId="0" borderId="17" xfId="0" applyFont="1" applyBorder="1" applyAlignment="1">
      <alignment horizontal="left" vertical="center" wrapText="1" shrinkToFit="1"/>
    </xf>
    <xf numFmtId="0" fontId="111" fillId="0" borderId="8" xfId="0" applyFont="1" applyBorder="1" applyAlignment="1">
      <alignment horizontal="center" vertical="center" shrinkToFit="1"/>
    </xf>
    <xf numFmtId="0" fontId="111" fillId="0" borderId="0" xfId="0" applyFont="1" applyBorder="1" applyAlignment="1">
      <alignment horizontal="center" vertical="center" shrinkToFit="1"/>
    </xf>
    <xf numFmtId="0" fontId="111" fillId="0" borderId="15" xfId="0" applyFont="1" applyBorder="1" applyAlignment="1">
      <alignment horizontal="center" vertical="center" shrinkToFit="1"/>
    </xf>
    <xf numFmtId="0" fontId="14" fillId="0" borderId="102" xfId="0" applyFont="1" applyBorder="1" applyAlignment="1" applyProtection="1">
      <alignment horizontal="center" vertical="center" wrapText="1"/>
    </xf>
    <xf numFmtId="3" fontId="21" fillId="14" borderId="73" xfId="0" applyNumberFormat="1" applyFont="1" applyFill="1" applyBorder="1" applyAlignment="1" applyProtection="1">
      <alignment horizontal="center" vertical="center"/>
    </xf>
    <xf numFmtId="0" fontId="65" fillId="0" borderId="72" xfId="0" quotePrefix="1" applyFont="1" applyBorder="1" applyAlignment="1" applyProtection="1">
      <alignment horizontal="right" vertical="center"/>
    </xf>
    <xf numFmtId="0" fontId="65" fillId="0" borderId="73" xfId="0" quotePrefix="1" applyFont="1" applyBorder="1" applyAlignment="1" applyProtection="1">
      <alignment horizontal="right" vertical="center"/>
    </xf>
    <xf numFmtId="0" fontId="49" fillId="0" borderId="54" xfId="0" applyFont="1" applyBorder="1" applyAlignment="1" applyProtection="1">
      <alignment horizontal="left" vertical="center" shrinkToFit="1"/>
    </xf>
    <xf numFmtId="0" fontId="49" fillId="0" borderId="67" xfId="0" applyFont="1" applyBorder="1" applyAlignment="1" applyProtection="1">
      <alignment horizontal="left" vertical="center" shrinkToFit="1"/>
    </xf>
    <xf numFmtId="0" fontId="49" fillId="0" borderId="97" xfId="0" applyFont="1" applyBorder="1" applyAlignment="1" applyProtection="1">
      <alignment horizontal="left" vertical="center" shrinkToFit="1"/>
    </xf>
    <xf numFmtId="0" fontId="49" fillId="0" borderId="98" xfId="0" applyFont="1" applyBorder="1" applyAlignment="1" applyProtection="1">
      <alignment horizontal="left" vertical="center" shrinkToFit="1"/>
    </xf>
    <xf numFmtId="0" fontId="21" fillId="14" borderId="73" xfId="0" applyFont="1" applyFill="1" applyBorder="1" applyAlignment="1" applyProtection="1">
      <alignment horizontal="center" vertical="center"/>
    </xf>
    <xf numFmtId="0" fontId="39" fillId="0" borderId="72" xfId="0" quotePrefix="1" applyFont="1" applyBorder="1" applyAlignment="1" applyProtection="1">
      <alignment horizontal="right" vertical="center"/>
    </xf>
    <xf numFmtId="0" fontId="49" fillId="0" borderId="73" xfId="0" quotePrefix="1" applyFont="1" applyBorder="1" applyAlignment="1" applyProtection="1">
      <alignment horizontal="right" vertical="center"/>
    </xf>
    <xf numFmtId="0" fontId="16" fillId="0" borderId="96" xfId="0" applyFont="1" applyBorder="1" applyAlignment="1" applyProtection="1">
      <alignment horizontal="left" vertical="center"/>
    </xf>
    <xf numFmtId="18" fontId="21" fillId="3" borderId="73" xfId="0" applyNumberFormat="1" applyFont="1" applyFill="1" applyBorder="1" applyAlignment="1" applyProtection="1">
      <alignment horizontal="center" vertical="center"/>
    </xf>
    <xf numFmtId="0" fontId="39" fillId="0" borderId="97" xfId="0" applyFont="1" applyBorder="1" applyAlignment="1" applyProtection="1">
      <alignment horizontal="center" vertical="center" shrinkToFit="1"/>
    </xf>
    <xf numFmtId="0" fontId="39" fillId="0" borderId="98" xfId="0" applyFont="1" applyBorder="1" applyAlignment="1" applyProtection="1">
      <alignment horizontal="center" vertical="center" shrinkToFit="1"/>
    </xf>
    <xf numFmtId="0" fontId="39" fillId="0" borderId="99" xfId="0" applyFont="1" applyBorder="1" applyAlignment="1" applyProtection="1">
      <alignment horizontal="center" vertical="center" shrinkToFit="1"/>
    </xf>
    <xf numFmtId="167" fontId="21" fillId="0" borderId="67" xfId="0" applyNumberFormat="1" applyFont="1" applyBorder="1" applyAlignment="1" applyProtection="1">
      <alignment horizontal="center" vertical="center"/>
      <protection locked="0"/>
    </xf>
    <xf numFmtId="167" fontId="21" fillId="0" borderId="54" xfId="0" applyNumberFormat="1" applyFont="1" applyBorder="1" applyAlignment="1" applyProtection="1">
      <alignment horizontal="center" vertical="center"/>
      <protection locked="0"/>
    </xf>
    <xf numFmtId="167" fontId="21" fillId="0" borderId="72" xfId="0" applyNumberFormat="1" applyFont="1" applyBorder="1" applyAlignment="1" applyProtection="1">
      <alignment horizontal="center" vertical="center"/>
      <protection locked="0"/>
    </xf>
    <xf numFmtId="0" fontId="10" fillId="3" borderId="67" xfId="0" applyFont="1" applyFill="1" applyBorder="1" applyAlignment="1" applyProtection="1">
      <alignment horizontal="right" vertical="center"/>
    </xf>
    <xf numFmtId="0" fontId="10" fillId="3" borderId="54" xfId="0" applyFont="1" applyFill="1" applyBorder="1" applyAlignment="1" applyProtection="1">
      <alignment horizontal="right" vertical="center"/>
    </xf>
    <xf numFmtId="0" fontId="10" fillId="3" borderId="67" xfId="0" applyFont="1" applyFill="1" applyBorder="1" applyAlignment="1" applyProtection="1">
      <alignment horizontal="right" vertical="center" shrinkToFit="1"/>
    </xf>
    <xf numFmtId="0" fontId="10" fillId="3" borderId="54" xfId="0" applyFont="1" applyFill="1" applyBorder="1" applyAlignment="1" applyProtection="1">
      <alignment horizontal="right" vertical="center" shrinkToFit="1"/>
    </xf>
    <xf numFmtId="173" fontId="11" fillId="3" borderId="54" xfId="0" applyNumberFormat="1" applyFont="1" applyFill="1" applyBorder="1" applyAlignment="1" applyProtection="1">
      <alignment horizontal="left" vertical="center" shrinkToFit="1"/>
    </xf>
    <xf numFmtId="173" fontId="11" fillId="3" borderId="72" xfId="0" applyNumberFormat="1" applyFont="1" applyFill="1" applyBorder="1" applyAlignment="1" applyProtection="1">
      <alignment horizontal="left" vertical="center" shrinkToFit="1"/>
    </xf>
    <xf numFmtId="0" fontId="13" fillId="3" borderId="54" xfId="0" applyNumberFormat="1" applyFont="1" applyFill="1" applyBorder="1" applyAlignment="1" applyProtection="1">
      <alignment horizontal="left" vertical="center" shrinkToFit="1"/>
    </xf>
    <xf numFmtId="0" fontId="13" fillId="3" borderId="72" xfId="0" applyNumberFormat="1" applyFont="1" applyFill="1" applyBorder="1" applyAlignment="1" applyProtection="1">
      <alignment horizontal="left" vertical="center" shrinkToFit="1"/>
    </xf>
    <xf numFmtId="0" fontId="13" fillId="3" borderId="54" xfId="0" applyFont="1" applyFill="1" applyBorder="1" applyAlignment="1" applyProtection="1">
      <alignment horizontal="left" vertical="center" shrinkToFit="1"/>
    </xf>
    <xf numFmtId="0" fontId="13" fillId="3" borderId="72" xfId="0" applyFont="1" applyFill="1" applyBorder="1" applyAlignment="1" applyProtection="1">
      <alignment horizontal="left" vertical="center" shrinkToFit="1"/>
    </xf>
    <xf numFmtId="0" fontId="12" fillId="4" borderId="54" xfId="0" applyFont="1" applyFill="1" applyBorder="1" applyAlignment="1" applyProtection="1">
      <alignment horizontal="right" vertical="center"/>
    </xf>
    <xf numFmtId="166" fontId="13" fillId="3" borderId="54" xfId="0" applyNumberFormat="1" applyFont="1" applyFill="1" applyBorder="1" applyAlignment="1" applyProtection="1">
      <alignment horizontal="left" vertical="center" shrinkToFit="1"/>
    </xf>
    <xf numFmtId="0" fontId="39" fillId="0" borderId="67" xfId="0" applyFont="1" applyBorder="1" applyAlignment="1" applyProtection="1">
      <alignment horizontal="center" vertical="center" wrapText="1"/>
    </xf>
    <xf numFmtId="0" fontId="39" fillId="0" borderId="54" xfId="0" applyFont="1" applyBorder="1" applyAlignment="1" applyProtection="1">
      <alignment horizontal="center" vertical="center" wrapText="1"/>
    </xf>
    <xf numFmtId="0" fontId="39" fillId="0" borderId="72" xfId="0" applyFont="1" applyBorder="1" applyAlignment="1" applyProtection="1">
      <alignment horizontal="center" vertical="center" wrapText="1"/>
    </xf>
    <xf numFmtId="176" fontId="49" fillId="3" borderId="67" xfId="0" applyNumberFormat="1" applyFont="1" applyFill="1" applyBorder="1" applyAlignment="1" applyProtection="1">
      <alignment horizontal="center" vertical="center" shrinkToFit="1"/>
    </xf>
    <xf numFmtId="176" fontId="49" fillId="3" borderId="54" xfId="0" applyNumberFormat="1" applyFont="1" applyFill="1" applyBorder="1" applyAlignment="1" applyProtection="1">
      <alignment horizontal="center" vertical="center" shrinkToFit="1"/>
    </xf>
    <xf numFmtId="176" fontId="49" fillId="3" borderId="72" xfId="0" applyNumberFormat="1" applyFont="1" applyFill="1" applyBorder="1" applyAlignment="1" applyProtection="1">
      <alignment horizontal="center" vertical="center" shrinkToFit="1"/>
    </xf>
    <xf numFmtId="0" fontId="71" fillId="0" borderId="80" xfId="0" applyFont="1" applyBorder="1" applyAlignment="1" applyProtection="1">
      <alignment horizontal="center" vertical="center"/>
    </xf>
    <xf numFmtId="0" fontId="71" fillId="0" borderId="81" xfId="0" applyFont="1" applyBorder="1" applyAlignment="1" applyProtection="1">
      <alignment horizontal="center" vertical="center"/>
    </xf>
    <xf numFmtId="0" fontId="21" fillId="0" borderId="73" xfId="0" applyNumberFormat="1" applyFont="1" applyBorder="1" applyAlignment="1" applyProtection="1">
      <alignment horizontal="center" vertical="center" wrapText="1"/>
      <protection locked="0"/>
    </xf>
    <xf numFmtId="0" fontId="21" fillId="0" borderId="67" xfId="0" applyNumberFormat="1" applyFont="1" applyBorder="1" applyAlignment="1" applyProtection="1">
      <alignment horizontal="center" vertical="center" wrapText="1"/>
      <protection locked="0"/>
    </xf>
    <xf numFmtId="0" fontId="49" fillId="0" borderId="54" xfId="0" applyFont="1" applyBorder="1" applyAlignment="1" applyProtection="1">
      <alignment horizontal="left" vertical="center"/>
    </xf>
    <xf numFmtId="0" fontId="67" fillId="9" borderId="12" xfId="0" applyFont="1" applyFill="1" applyBorder="1" applyAlignment="1" applyProtection="1">
      <alignment horizontal="center" vertical="center" shrinkToFit="1"/>
    </xf>
    <xf numFmtId="166" fontId="49" fillId="14" borderId="73" xfId="0" applyNumberFormat="1" applyFont="1" applyFill="1" applyBorder="1" applyAlignment="1" applyProtection="1">
      <alignment horizontal="center" vertical="center" shrinkToFit="1"/>
      <protection locked="0"/>
    </xf>
    <xf numFmtId="0" fontId="18" fillId="0" borderId="96" xfId="0" applyFont="1" applyBorder="1" applyAlignment="1" applyProtection="1">
      <alignment horizontal="left" vertical="center"/>
    </xf>
    <xf numFmtId="0" fontId="16" fillId="0" borderId="0" xfId="0" applyFont="1" applyAlignment="1" applyProtection="1">
      <alignment horizontal="center" vertical="center" wrapText="1"/>
    </xf>
    <xf numFmtId="166" fontId="13" fillId="0" borderId="73" xfId="0" applyNumberFormat="1" applyFont="1" applyBorder="1" applyAlignment="1" applyProtection="1">
      <alignment horizontal="center" vertical="center" wrapText="1" shrinkToFit="1"/>
      <protection locked="0"/>
    </xf>
    <xf numFmtId="166" fontId="13" fillId="0" borderId="73" xfId="0" quotePrefix="1" applyNumberFormat="1" applyFont="1" applyBorder="1" applyAlignment="1" applyProtection="1">
      <alignment horizontal="center" vertical="center" wrapText="1" shrinkToFit="1"/>
      <protection locked="0"/>
    </xf>
    <xf numFmtId="0" fontId="67" fillId="10" borderId="12" xfId="0" applyFont="1" applyFill="1" applyBorder="1" applyAlignment="1" applyProtection="1">
      <alignment horizontal="center" vertical="center" shrinkToFit="1"/>
    </xf>
    <xf numFmtId="0" fontId="67" fillId="2" borderId="12" xfId="0" applyFont="1" applyFill="1" applyBorder="1" applyAlignment="1" applyProtection="1">
      <alignment horizontal="center" vertical="center" shrinkToFit="1"/>
    </xf>
    <xf numFmtId="0" fontId="15" fillId="0" borderId="80" xfId="0" applyFont="1" applyBorder="1" applyAlignment="1" applyProtection="1">
      <alignment horizontal="center" vertical="center" wrapText="1"/>
    </xf>
    <xf numFmtId="0" fontId="21" fillId="0" borderId="73" xfId="0" applyFont="1" applyBorder="1" applyAlignment="1" applyProtection="1">
      <alignment horizontal="left" vertical="center" wrapText="1" indent="1"/>
      <protection locked="0"/>
    </xf>
    <xf numFmtId="166" fontId="21" fillId="0" borderId="73" xfId="0" applyNumberFormat="1" applyFont="1" applyBorder="1" applyAlignment="1" applyProtection="1">
      <alignment horizontal="center" vertical="center"/>
      <protection locked="0"/>
    </xf>
    <xf numFmtId="0" fontId="21" fillId="0" borderId="73" xfId="0" applyFont="1" applyBorder="1" applyAlignment="1" applyProtection="1">
      <alignment horizontal="center" vertical="center"/>
      <protection locked="0"/>
    </xf>
    <xf numFmtId="0" fontId="68" fillId="9" borderId="11" xfId="0" applyFont="1" applyFill="1" applyBorder="1" applyAlignment="1" applyProtection="1">
      <alignment horizontal="center" vertical="center" shrinkToFit="1"/>
    </xf>
    <xf numFmtId="0" fontId="68" fillId="9" borderId="12" xfId="0" applyFont="1" applyFill="1" applyBorder="1" applyAlignment="1" applyProtection="1">
      <alignment horizontal="center" vertical="center" shrinkToFit="1"/>
    </xf>
    <xf numFmtId="0" fontId="15" fillId="0" borderId="102" xfId="0" applyFont="1" applyBorder="1" applyAlignment="1" applyProtection="1">
      <alignment horizontal="center" vertical="center" wrapText="1"/>
    </xf>
    <xf numFmtId="0" fontId="15" fillId="0" borderId="102" xfId="0" applyFont="1" applyBorder="1" applyAlignment="1" applyProtection="1">
      <alignment horizontal="center" vertical="center"/>
    </xf>
    <xf numFmtId="0" fontId="15" fillId="0" borderId="73" xfId="0" applyFont="1" applyBorder="1" applyAlignment="1" applyProtection="1">
      <alignment horizontal="center" vertical="center"/>
    </xf>
    <xf numFmtId="0" fontId="15" fillId="0" borderId="73" xfId="0" applyFont="1" applyBorder="1" applyAlignment="1" applyProtection="1">
      <alignment horizontal="center" vertical="center" wrapText="1"/>
    </xf>
    <xf numFmtId="0" fontId="78" fillId="0" borderId="0" xfId="0" applyFont="1" applyBorder="1" applyAlignment="1" applyProtection="1">
      <alignment horizontal="center" vertical="center"/>
      <protection locked="0"/>
    </xf>
    <xf numFmtId="0" fontId="68" fillId="10" borderId="11" xfId="0" applyFont="1" applyFill="1" applyBorder="1" applyAlignment="1" applyProtection="1">
      <alignment horizontal="center" vertical="center" shrinkToFit="1"/>
    </xf>
    <xf numFmtId="0" fontId="68" fillId="10" borderId="12" xfId="0" applyFont="1" applyFill="1" applyBorder="1" applyAlignment="1" applyProtection="1">
      <alignment horizontal="center" vertical="center" shrinkToFit="1"/>
    </xf>
    <xf numFmtId="0" fontId="16" fillId="0" borderId="103" xfId="0" applyFont="1" applyBorder="1" applyAlignment="1" applyProtection="1">
      <alignment horizontal="left" vertical="center"/>
    </xf>
    <xf numFmtId="0" fontId="16" fillId="0" borderId="104" xfId="0" applyFont="1" applyBorder="1" applyAlignment="1" applyProtection="1">
      <alignment horizontal="left" vertical="center"/>
    </xf>
    <xf numFmtId="0" fontId="16" fillId="0" borderId="105" xfId="0" applyFont="1" applyBorder="1" applyAlignment="1" applyProtection="1">
      <alignment horizontal="left" vertical="center"/>
    </xf>
    <xf numFmtId="166" fontId="21" fillId="0" borderId="102" xfId="0" applyNumberFormat="1" applyFont="1" applyBorder="1" applyAlignment="1" applyProtection="1">
      <alignment horizontal="center" vertical="center"/>
      <protection locked="0"/>
    </xf>
    <xf numFmtId="0" fontId="21" fillId="0" borderId="80" xfId="0" applyFont="1" applyBorder="1" applyAlignment="1" applyProtection="1">
      <alignment horizontal="left" vertical="center" wrapText="1" indent="1"/>
      <protection locked="0"/>
    </xf>
    <xf numFmtId="0" fontId="0" fillId="0" borderId="0" xfId="0" applyAlignment="1" applyProtection="1">
      <alignment horizontal="center"/>
    </xf>
    <xf numFmtId="0" fontId="39" fillId="0" borderId="73" xfId="0" applyFont="1" applyBorder="1" applyAlignment="1" applyProtection="1">
      <alignment horizontal="center" vertical="center" shrinkToFit="1"/>
    </xf>
    <xf numFmtId="0" fontId="39" fillId="0" borderId="73" xfId="0" applyFont="1" applyBorder="1" applyAlignment="1" applyProtection="1">
      <alignment horizontal="center" vertical="center" wrapText="1"/>
    </xf>
    <xf numFmtId="0" fontId="21" fillId="3" borderId="73" xfId="0" applyFont="1" applyFill="1" applyBorder="1" applyAlignment="1" applyProtection="1">
      <alignment horizontal="center" vertical="center"/>
    </xf>
    <xf numFmtId="166" fontId="21" fillId="3" borderId="73" xfId="0" applyNumberFormat="1" applyFont="1" applyFill="1" applyBorder="1" applyAlignment="1" applyProtection="1">
      <alignment horizontal="center" vertical="center" wrapText="1"/>
    </xf>
    <xf numFmtId="0" fontId="15" fillId="0" borderId="100" xfId="0" applyFont="1" applyBorder="1" applyAlignment="1" applyProtection="1">
      <alignment horizontal="center" vertical="center" wrapText="1"/>
      <protection locked="0"/>
    </xf>
    <xf numFmtId="0" fontId="15" fillId="0" borderId="101" xfId="0" applyFont="1" applyBorder="1" applyAlignment="1" applyProtection="1">
      <alignment horizontal="center" vertical="center" wrapText="1"/>
      <protection locked="0"/>
    </xf>
    <xf numFmtId="0" fontId="15" fillId="0" borderId="117" xfId="0" applyFont="1" applyBorder="1" applyAlignment="1" applyProtection="1">
      <alignment horizontal="center" vertical="center" wrapText="1"/>
      <protection locked="0"/>
    </xf>
    <xf numFmtId="0" fontId="15" fillId="0" borderId="81" xfId="0" applyFont="1" applyBorder="1" applyAlignment="1" applyProtection="1">
      <alignment horizontal="center" vertical="center" wrapText="1"/>
      <protection locked="0"/>
    </xf>
    <xf numFmtId="0" fontId="15" fillId="0" borderId="78" xfId="0" applyFont="1" applyBorder="1" applyAlignment="1" applyProtection="1">
      <alignment horizontal="center" vertical="center" wrapText="1"/>
      <protection locked="0"/>
    </xf>
    <xf numFmtId="0" fontId="15" fillId="0" borderId="79" xfId="0" applyFont="1" applyBorder="1" applyAlignment="1" applyProtection="1">
      <alignment horizontal="center" vertical="center" wrapText="1"/>
      <protection locked="0"/>
    </xf>
    <xf numFmtId="0" fontId="67" fillId="2" borderId="11" xfId="0" applyFont="1" applyFill="1" applyBorder="1" applyAlignment="1" applyProtection="1">
      <alignment horizontal="center" vertical="center" shrinkToFit="1"/>
    </xf>
    <xf numFmtId="166" fontId="13" fillId="0" borderId="73" xfId="0" applyNumberFormat="1" applyFont="1" applyBorder="1" applyAlignment="1" applyProtection="1">
      <alignment horizontal="center" vertical="center" wrapText="1"/>
      <protection locked="0"/>
    </xf>
    <xf numFmtId="0" fontId="27" fillId="2" borderId="12" xfId="0" applyFont="1" applyFill="1" applyBorder="1" applyAlignment="1" applyProtection="1">
      <alignment horizontal="left" vertical="center" shrinkToFit="1"/>
    </xf>
    <xf numFmtId="0" fontId="50" fillId="10" borderId="12" xfId="0" applyFont="1" applyFill="1" applyBorder="1" applyAlignment="1" applyProtection="1">
      <alignment horizontal="center" vertical="center" shrinkToFit="1"/>
    </xf>
    <xf numFmtId="0" fontId="50" fillId="10" borderId="13" xfId="0" applyFont="1" applyFill="1" applyBorder="1" applyAlignment="1" applyProtection="1">
      <alignment horizontal="center" vertical="center" shrinkToFit="1"/>
    </xf>
    <xf numFmtId="0" fontId="63" fillId="0" borderId="0" xfId="0" applyFont="1" applyBorder="1" applyAlignment="1" applyProtection="1">
      <alignment horizontal="center" vertical="center"/>
      <protection locked="0"/>
    </xf>
    <xf numFmtId="0" fontId="15" fillId="0" borderId="96" xfId="0" applyFont="1" applyBorder="1" applyAlignment="1" applyProtection="1">
      <alignment horizontal="center" vertical="center"/>
    </xf>
    <xf numFmtId="0" fontId="67" fillId="7" borderId="12" xfId="0" applyFont="1" applyFill="1" applyBorder="1" applyAlignment="1" applyProtection="1">
      <alignment horizontal="center" vertical="center" shrinkToFit="1"/>
    </xf>
    <xf numFmtId="14" fontId="67" fillId="9" borderId="12" xfId="0" applyNumberFormat="1" applyFont="1" applyFill="1" applyBorder="1" applyAlignment="1" applyProtection="1">
      <alignment horizontal="center" vertical="center" shrinkToFit="1"/>
    </xf>
    <xf numFmtId="14" fontId="67" fillId="7" borderId="12" xfId="0" applyNumberFormat="1" applyFont="1" applyFill="1" applyBorder="1" applyAlignment="1" applyProtection="1">
      <alignment horizontal="center" vertical="center" shrinkToFit="1"/>
    </xf>
    <xf numFmtId="14" fontId="67" fillId="7" borderId="13" xfId="0" applyNumberFormat="1" applyFont="1" applyFill="1" applyBorder="1" applyAlignment="1" applyProtection="1">
      <alignment horizontal="center" vertical="center" shrinkToFit="1"/>
    </xf>
    <xf numFmtId="0" fontId="21" fillId="0" borderId="102" xfId="0" applyFont="1" applyBorder="1" applyAlignment="1" applyProtection="1">
      <alignment horizontal="center" vertical="center"/>
      <protection locked="0"/>
    </xf>
    <xf numFmtId="0" fontId="51" fillId="0" borderId="0" xfId="0" applyFont="1" applyAlignment="1" applyProtection="1">
      <alignment horizontal="left" vertical="center"/>
    </xf>
    <xf numFmtId="0" fontId="34" fillId="0" borderId="0" xfId="0" applyFont="1" applyBorder="1" applyAlignment="1" applyProtection="1">
      <alignment horizontal="center" vertical="center"/>
    </xf>
    <xf numFmtId="171" fontId="49" fillId="14" borderId="73" xfId="0" applyNumberFormat="1" applyFont="1" applyFill="1" applyBorder="1" applyAlignment="1" applyProtection="1">
      <alignment horizontal="center" vertical="center" shrinkToFit="1"/>
      <protection locked="0"/>
    </xf>
    <xf numFmtId="164" fontId="49" fillId="14" borderId="73" xfId="0" applyNumberFormat="1" applyFont="1" applyFill="1" applyBorder="1" applyAlignment="1" applyProtection="1">
      <alignment horizontal="center" vertical="center" shrinkToFit="1"/>
      <protection locked="0"/>
    </xf>
    <xf numFmtId="166" fontId="49" fillId="14" borderId="67" xfId="0" applyNumberFormat="1" applyFont="1" applyFill="1" applyBorder="1" applyAlignment="1" applyProtection="1">
      <alignment horizontal="center" vertical="center" shrinkToFit="1"/>
      <protection locked="0"/>
    </xf>
    <xf numFmtId="166" fontId="49" fillId="14" borderId="54" xfId="0" applyNumberFormat="1" applyFont="1" applyFill="1" applyBorder="1" applyAlignment="1" applyProtection="1">
      <alignment horizontal="center" vertical="center" shrinkToFit="1"/>
      <protection locked="0"/>
    </xf>
    <xf numFmtId="166" fontId="49" fillId="14" borderId="72" xfId="0" applyNumberFormat="1" applyFont="1" applyFill="1" applyBorder="1" applyAlignment="1" applyProtection="1">
      <alignment horizontal="center" vertical="center" shrinkToFit="1"/>
      <protection locked="0"/>
    </xf>
    <xf numFmtId="0" fontId="53" fillId="0" borderId="67" xfId="0" applyFont="1" applyFill="1" applyBorder="1" applyAlignment="1" applyProtection="1">
      <alignment horizontal="center" vertical="center" wrapText="1"/>
    </xf>
    <xf numFmtId="0" fontId="53" fillId="0" borderId="54" xfId="0" applyFont="1" applyFill="1" applyBorder="1" applyAlignment="1" applyProtection="1">
      <alignment horizontal="center" vertical="center" wrapText="1"/>
    </xf>
    <xf numFmtId="0" fontId="49" fillId="0" borderId="67" xfId="0" applyFont="1" applyFill="1" applyBorder="1" applyAlignment="1" applyProtection="1">
      <alignment horizontal="left" vertical="center" wrapText="1"/>
      <protection locked="0"/>
    </xf>
    <xf numFmtId="0" fontId="49" fillId="0" borderId="54" xfId="0" applyFont="1" applyFill="1" applyBorder="1" applyAlignment="1" applyProtection="1">
      <alignment horizontal="left" vertical="center" wrapText="1"/>
      <protection locked="0"/>
    </xf>
    <xf numFmtId="0" fontId="49" fillId="0" borderId="72" xfId="0" applyFont="1" applyFill="1" applyBorder="1" applyAlignment="1" applyProtection="1">
      <alignment horizontal="left" vertical="center" wrapText="1"/>
      <protection locked="0"/>
    </xf>
    <xf numFmtId="0" fontId="0" fillId="0" borderId="54" xfId="0" applyBorder="1" applyAlignment="1" applyProtection="1">
      <alignment horizontal="center"/>
    </xf>
    <xf numFmtId="0" fontId="21" fillId="0" borderId="73" xfId="0" applyFont="1" applyBorder="1" applyAlignment="1" applyProtection="1">
      <alignment horizontal="left" vertical="center" wrapText="1"/>
      <protection locked="0"/>
    </xf>
    <xf numFmtId="0" fontId="22" fillId="0" borderId="73" xfId="0" applyFont="1" applyBorder="1" applyAlignment="1" applyProtection="1">
      <alignment horizontal="left" vertical="center" wrapText="1"/>
      <protection locked="0"/>
    </xf>
    <xf numFmtId="0" fontId="37" fillId="0" borderId="0" xfId="0" applyFont="1" applyBorder="1" applyAlignment="1" applyProtection="1">
      <alignment horizontal="center" vertical="center" wrapText="1"/>
      <protection locked="0"/>
    </xf>
    <xf numFmtId="0" fontId="38" fillId="0" borderId="78" xfId="0" applyFont="1" applyBorder="1" applyAlignment="1" applyProtection="1">
      <alignment horizontal="center" vertical="center" wrapText="1"/>
      <protection locked="0"/>
    </xf>
    <xf numFmtId="0" fontId="19" fillId="0" borderId="0" xfId="0" applyFont="1" applyFill="1" applyAlignment="1" applyProtection="1">
      <alignment horizontal="center" vertical="center"/>
    </xf>
    <xf numFmtId="2" fontId="80" fillId="0" borderId="78" xfId="0" applyNumberFormat="1" applyFont="1" applyBorder="1" applyAlignment="1" applyProtection="1">
      <alignment horizontal="center" vertical="center"/>
      <protection locked="0"/>
    </xf>
    <xf numFmtId="174" fontId="38" fillId="0" borderId="78" xfId="0" applyNumberFormat="1"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0" fontId="79" fillId="0" borderId="78" xfId="0" applyFont="1" applyBorder="1" applyAlignment="1" applyProtection="1">
      <alignment horizontal="center" vertical="center"/>
      <protection locked="0"/>
    </xf>
    <xf numFmtId="0" fontId="62" fillId="0" borderId="0" xfId="0" applyFont="1" applyBorder="1" applyAlignment="1" applyProtection="1">
      <alignment horizontal="center" vertical="center"/>
      <protection locked="0"/>
    </xf>
    <xf numFmtId="0" fontId="77" fillId="0" borderId="0" xfId="0" applyFont="1" applyBorder="1" applyAlignment="1" applyProtection="1">
      <alignment horizontal="center" vertical="center" wrapText="1"/>
      <protection locked="0"/>
    </xf>
    <xf numFmtId="0" fontId="80" fillId="0" borderId="78" xfId="0" applyFont="1" applyBorder="1" applyAlignment="1" applyProtection="1">
      <alignment horizontal="center" vertical="center" wrapText="1"/>
      <protection locked="0"/>
    </xf>
    <xf numFmtId="0" fontId="34" fillId="0" borderId="0" xfId="0" applyFont="1" applyAlignment="1" applyProtection="1">
      <alignment horizontal="center" vertical="center"/>
    </xf>
    <xf numFmtId="0" fontId="18" fillId="0" borderId="106" xfId="0" applyNumberFormat="1" applyFont="1" applyBorder="1" applyAlignment="1" applyProtection="1">
      <alignment horizontal="center" vertical="center" wrapText="1"/>
      <protection locked="0"/>
    </xf>
    <xf numFmtId="0" fontId="18" fillId="0" borderId="107" xfId="0" applyNumberFormat="1" applyFont="1" applyBorder="1" applyAlignment="1" applyProtection="1">
      <alignment horizontal="center" vertical="center" wrapText="1"/>
      <protection locked="0"/>
    </xf>
    <xf numFmtId="0" fontId="49" fillId="0" borderId="67" xfId="0" applyNumberFormat="1" applyFont="1" applyBorder="1" applyAlignment="1" applyProtection="1">
      <alignment horizontal="center" vertical="center"/>
      <protection locked="0"/>
    </xf>
    <xf numFmtId="0" fontId="49" fillId="0" borderId="54" xfId="0" applyNumberFormat="1" applyFont="1" applyBorder="1" applyAlignment="1" applyProtection="1">
      <alignment horizontal="center" vertical="center"/>
      <protection locked="0"/>
    </xf>
    <xf numFmtId="0" fontId="44" fillId="0" borderId="76" xfId="0" applyFont="1" applyBorder="1" applyAlignment="1" applyProtection="1">
      <alignment horizontal="center" vertical="center" wrapText="1"/>
      <protection locked="0"/>
    </xf>
    <xf numFmtId="0" fontId="44" fillId="0" borderId="36" xfId="0" applyFont="1" applyBorder="1" applyAlignment="1" applyProtection="1">
      <alignment horizontal="center" vertical="center" wrapText="1"/>
      <protection locked="0"/>
    </xf>
    <xf numFmtId="0" fontId="21" fillId="0" borderId="31" xfId="0" applyNumberFormat="1" applyFont="1" applyBorder="1" applyAlignment="1" applyProtection="1">
      <alignment horizontal="center" vertical="center" wrapText="1"/>
      <protection locked="0"/>
    </xf>
    <xf numFmtId="0" fontId="21" fillId="0" borderId="32" xfId="0" applyNumberFormat="1" applyFont="1" applyBorder="1" applyAlignment="1" applyProtection="1">
      <alignment horizontal="center" vertical="center" wrapText="1"/>
      <protection locked="0"/>
    </xf>
    <xf numFmtId="0" fontId="21" fillId="14" borderId="67" xfId="0" applyFont="1" applyFill="1" applyBorder="1" applyAlignment="1" applyProtection="1">
      <alignment horizontal="center" vertical="center" wrapText="1"/>
      <protection locked="0"/>
    </xf>
    <xf numFmtId="0" fontId="21" fillId="14" borderId="54" xfId="0" applyFont="1" applyFill="1" applyBorder="1" applyAlignment="1" applyProtection="1">
      <alignment horizontal="center" vertical="center" wrapText="1"/>
      <protection locked="0"/>
    </xf>
    <xf numFmtId="0" fontId="21" fillId="14" borderId="72" xfId="0" applyFont="1" applyFill="1" applyBorder="1" applyAlignment="1" applyProtection="1">
      <alignment horizontal="center" vertical="center" wrapText="1"/>
      <protection locked="0"/>
    </xf>
    <xf numFmtId="0" fontId="14" fillId="0" borderId="102" xfId="0" applyFont="1" applyBorder="1" applyAlignment="1" applyProtection="1">
      <alignment horizontal="center" vertical="center"/>
    </xf>
    <xf numFmtId="0" fontId="21" fillId="14" borderId="73" xfId="0" applyFont="1" applyFill="1" applyBorder="1" applyAlignment="1" applyProtection="1">
      <alignment horizontal="center" vertical="center"/>
      <protection locked="0"/>
    </xf>
    <xf numFmtId="0" fontId="21" fillId="14" borderId="73" xfId="0" applyFont="1" applyFill="1" applyBorder="1" applyAlignment="1" applyProtection="1">
      <alignment horizontal="center" vertical="center" wrapText="1"/>
      <protection locked="0"/>
    </xf>
    <xf numFmtId="0" fontId="13" fillId="0" borderId="73" xfId="0" applyFont="1" applyBorder="1" applyAlignment="1" applyProtection="1">
      <alignment horizontal="center" vertical="center" wrapText="1" shrinkToFit="1"/>
      <protection locked="0"/>
    </xf>
    <xf numFmtId="0" fontId="13" fillId="0" borderId="73" xfId="0" applyFont="1" applyBorder="1" applyAlignment="1" applyProtection="1">
      <alignment horizontal="center" vertical="center" wrapText="1"/>
      <protection locked="0"/>
    </xf>
    <xf numFmtId="0" fontId="55" fillId="0" borderId="67" xfId="0" applyFont="1" applyBorder="1" applyAlignment="1" applyProtection="1">
      <alignment horizontal="center" vertical="center"/>
    </xf>
    <xf numFmtId="0" fontId="55" fillId="0" borderId="54" xfId="0" applyFont="1" applyBorder="1" applyAlignment="1" applyProtection="1">
      <alignment horizontal="center" vertical="center"/>
    </xf>
    <xf numFmtId="0" fontId="55" fillId="0" borderId="72" xfId="0" applyFont="1" applyBorder="1" applyAlignment="1" applyProtection="1">
      <alignment horizontal="center" vertical="center"/>
    </xf>
    <xf numFmtId="0" fontId="21" fillId="0" borderId="67" xfId="0" applyFont="1" applyBorder="1" applyAlignment="1" applyProtection="1">
      <alignment horizontal="center" vertical="center" wrapText="1"/>
      <protection locked="0"/>
    </xf>
    <xf numFmtId="0" fontId="21" fillId="0" borderId="54" xfId="0" applyFont="1" applyBorder="1" applyAlignment="1" applyProtection="1">
      <alignment horizontal="center" vertical="center" wrapText="1"/>
      <protection locked="0"/>
    </xf>
    <xf numFmtId="0" fontId="21" fillId="0" borderId="72" xfId="0" applyFont="1" applyBorder="1" applyAlignment="1" applyProtection="1">
      <alignment horizontal="center" vertical="center" wrapText="1"/>
      <protection locked="0"/>
    </xf>
    <xf numFmtId="0" fontId="66" fillId="0" borderId="96" xfId="0" applyFont="1" applyFill="1" applyBorder="1" applyAlignment="1" applyProtection="1">
      <alignment horizontal="right" vertical="center" wrapText="1" shrinkToFit="1"/>
      <protection hidden="1"/>
    </xf>
    <xf numFmtId="172" fontId="50" fillId="10" borderId="12" xfId="0" applyNumberFormat="1" applyFont="1" applyFill="1" applyBorder="1" applyAlignment="1" applyProtection="1">
      <alignment horizontal="center" vertical="center" shrinkToFit="1"/>
    </xf>
    <xf numFmtId="172" fontId="50" fillId="10" borderId="13" xfId="0" applyNumberFormat="1" applyFont="1" applyFill="1" applyBorder="1" applyAlignment="1" applyProtection="1">
      <alignment horizontal="center" vertical="center" shrinkToFit="1"/>
    </xf>
    <xf numFmtId="0" fontId="22" fillId="0" borderId="76" xfId="0" applyFont="1" applyBorder="1" applyAlignment="1" applyProtection="1">
      <alignment horizontal="center" vertical="center" wrapText="1"/>
      <protection locked="0"/>
    </xf>
    <xf numFmtId="0" fontId="22" fillId="0" borderId="36" xfId="0" applyFont="1" applyBorder="1" applyAlignment="1" applyProtection="1">
      <alignment horizontal="center" vertical="center" wrapText="1"/>
      <protection locked="0"/>
    </xf>
    <xf numFmtId="0" fontId="21" fillId="0" borderId="74" xfId="0" applyNumberFormat="1" applyFont="1" applyBorder="1" applyAlignment="1" applyProtection="1">
      <alignment horizontal="center" vertical="center" wrapText="1"/>
      <protection locked="0"/>
    </xf>
    <xf numFmtId="0" fontId="21" fillId="0" borderId="75" xfId="0" applyNumberFormat="1" applyFont="1" applyBorder="1" applyAlignment="1" applyProtection="1">
      <alignment horizontal="center" vertical="center" wrapText="1"/>
      <protection locked="0"/>
    </xf>
    <xf numFmtId="0" fontId="55" fillId="0" borderId="97" xfId="0" applyFont="1" applyBorder="1" applyAlignment="1" applyProtection="1">
      <alignment horizontal="center" vertical="center"/>
    </xf>
    <xf numFmtId="0" fontId="55" fillId="0" borderId="98" xfId="0" applyFont="1" applyBorder="1" applyAlignment="1" applyProtection="1">
      <alignment horizontal="center" vertical="center"/>
    </xf>
    <xf numFmtId="0" fontId="55" fillId="0" borderId="99" xfId="0" applyFont="1" applyBorder="1" applyAlignment="1" applyProtection="1">
      <alignment horizontal="center" vertical="center"/>
    </xf>
    <xf numFmtId="0" fontId="39" fillId="0" borderId="73" xfId="0" applyFont="1" applyBorder="1" applyAlignment="1" applyProtection="1">
      <alignment horizontal="center" vertical="center"/>
    </xf>
    <xf numFmtId="14" fontId="49" fillId="3" borderId="73" xfId="0" applyNumberFormat="1" applyFont="1" applyFill="1" applyBorder="1" applyAlignment="1" applyProtection="1">
      <alignment horizontal="center" vertical="center" shrinkToFit="1"/>
    </xf>
    <xf numFmtId="0" fontId="14" fillId="0" borderId="54" xfId="0" applyNumberFormat="1" applyFont="1" applyBorder="1" applyAlignment="1" applyProtection="1">
      <alignment horizontal="center" vertical="center" shrinkToFit="1"/>
    </xf>
    <xf numFmtId="0" fontId="14" fillId="0" borderId="73" xfId="0" applyFont="1" applyBorder="1" applyAlignment="1" applyProtection="1">
      <alignment horizontal="center" vertical="center"/>
    </xf>
    <xf numFmtId="166" fontId="21" fillId="14" borderId="73" xfId="0" applyNumberFormat="1" applyFont="1" applyFill="1" applyBorder="1" applyAlignment="1" applyProtection="1">
      <alignment horizontal="center" vertical="center"/>
    </xf>
    <xf numFmtId="0" fontId="71" fillId="0" borderId="97" xfId="0" applyFont="1" applyBorder="1" applyAlignment="1" applyProtection="1">
      <alignment horizontal="center" vertical="center" wrapText="1"/>
    </xf>
    <xf numFmtId="0" fontId="71" fillId="0" borderId="98" xfId="0" applyFont="1" applyBorder="1" applyAlignment="1" applyProtection="1">
      <alignment horizontal="center" vertical="center" wrapText="1"/>
    </xf>
    <xf numFmtId="0" fontId="71" fillId="0" borderId="99" xfId="0" applyFont="1" applyBorder="1" applyAlignment="1" applyProtection="1">
      <alignment horizontal="center" vertical="center" wrapText="1"/>
    </xf>
    <xf numFmtId="18" fontId="21" fillId="3" borderId="67" xfId="0" applyNumberFormat="1" applyFont="1" applyFill="1" applyBorder="1" applyAlignment="1" applyProtection="1">
      <alignment horizontal="center" vertical="center"/>
    </xf>
    <xf numFmtId="18" fontId="21" fillId="3" borderId="54" xfId="0" applyNumberFormat="1" applyFont="1" applyFill="1" applyBorder="1" applyAlignment="1" applyProtection="1">
      <alignment horizontal="center" vertical="center"/>
    </xf>
    <xf numFmtId="18" fontId="21" fillId="3" borderId="72" xfId="0" applyNumberFormat="1" applyFont="1" applyFill="1" applyBorder="1" applyAlignment="1" applyProtection="1">
      <alignment horizontal="center" vertical="center"/>
    </xf>
    <xf numFmtId="0" fontId="14" fillId="0" borderId="73" xfId="0" applyFont="1" applyBorder="1" applyAlignment="1" applyProtection="1">
      <alignment horizontal="center" vertical="center" wrapText="1"/>
    </xf>
    <xf numFmtId="0" fontId="27" fillId="0" borderId="96" xfId="0" applyFont="1" applyBorder="1" applyAlignment="1" applyProtection="1">
      <alignment horizontal="left" vertical="center"/>
    </xf>
    <xf numFmtId="0" fontId="39" fillId="0" borderId="54" xfId="0" applyFont="1" applyBorder="1" applyAlignment="1" applyProtection="1">
      <alignment horizontal="right" vertical="center" shrinkToFit="1"/>
    </xf>
    <xf numFmtId="0" fontId="65" fillId="0" borderId="72" xfId="0" applyFont="1" applyBorder="1" applyAlignment="1" applyProtection="1">
      <alignment horizontal="right" vertical="center" shrinkToFit="1"/>
    </xf>
    <xf numFmtId="0" fontId="65" fillId="0" borderId="73" xfId="0" applyFont="1" applyBorder="1" applyAlignment="1" applyProtection="1">
      <alignment horizontal="right" vertical="center" shrinkToFit="1"/>
    </xf>
    <xf numFmtId="14" fontId="21" fillId="3" borderId="73" xfId="0" applyNumberFormat="1" applyFont="1" applyFill="1" applyBorder="1" applyAlignment="1" applyProtection="1">
      <alignment horizontal="center" vertical="center"/>
    </xf>
    <xf numFmtId="0" fontId="20" fillId="0" borderId="102" xfId="0" applyFont="1" applyBorder="1" applyAlignment="1" applyProtection="1">
      <alignment horizontal="center" vertical="center" shrinkToFit="1"/>
    </xf>
    <xf numFmtId="0" fontId="39" fillId="0" borderId="98" xfId="0" applyFont="1" applyBorder="1" applyAlignment="1" applyProtection="1">
      <alignment horizontal="right" vertical="center" shrinkToFit="1"/>
    </xf>
    <xf numFmtId="0" fontId="21" fillId="0" borderId="102" xfId="0" applyFont="1" applyBorder="1" applyAlignment="1" applyProtection="1">
      <alignment horizontal="left" vertical="center" wrapText="1"/>
      <protection locked="0"/>
    </xf>
    <xf numFmtId="0" fontId="27" fillId="10" borderId="12" xfId="0" applyFont="1" applyFill="1" applyBorder="1" applyAlignment="1" applyProtection="1">
      <alignment horizontal="center" vertical="center" shrinkToFit="1"/>
    </xf>
    <xf numFmtId="0" fontId="27" fillId="10" borderId="13" xfId="0" applyFont="1" applyFill="1" applyBorder="1" applyAlignment="1" applyProtection="1">
      <alignment horizontal="center" vertical="center" shrinkToFit="1"/>
    </xf>
    <xf numFmtId="0" fontId="39" fillId="0" borderId="99" xfId="0" applyFont="1" applyBorder="1" applyAlignment="1" applyProtection="1">
      <alignment horizontal="right" vertical="center"/>
    </xf>
    <xf numFmtId="0" fontId="39" fillId="0" borderId="102" xfId="0" applyFont="1" applyBorder="1" applyAlignment="1" applyProtection="1">
      <alignment horizontal="right" vertical="center"/>
    </xf>
    <xf numFmtId="0" fontId="39" fillId="0" borderId="73" xfId="0" quotePrefix="1" applyFont="1" applyBorder="1" applyAlignment="1" applyProtection="1">
      <alignment horizontal="right" vertical="center"/>
    </xf>
    <xf numFmtId="3" fontId="19" fillId="0" borderId="0" xfId="0" applyNumberFormat="1" applyFont="1" applyAlignment="1" applyProtection="1">
      <alignment horizontal="center" vertical="center"/>
    </xf>
    <xf numFmtId="0" fontId="117" fillId="10" borderId="11" xfId="0" applyFont="1" applyFill="1" applyBorder="1" applyAlignment="1" applyProtection="1">
      <alignment horizontal="center" vertical="center" shrinkToFit="1"/>
    </xf>
    <xf numFmtId="0" fontId="117" fillId="10" borderId="12" xfId="0" applyFont="1" applyFill="1" applyBorder="1" applyAlignment="1" applyProtection="1">
      <alignment horizontal="center" vertical="center" shrinkToFit="1"/>
    </xf>
    <xf numFmtId="9" fontId="21" fillId="3" borderId="73" xfId="0" applyNumberFormat="1" applyFont="1" applyFill="1" applyBorder="1" applyAlignment="1" applyProtection="1">
      <alignment horizontal="center" vertical="center"/>
    </xf>
    <xf numFmtId="166" fontId="21" fillId="3" borderId="73" xfId="0" applyNumberFormat="1" applyFont="1" applyFill="1" applyBorder="1" applyAlignment="1" applyProtection="1">
      <alignment horizontal="center" vertical="center"/>
    </xf>
    <xf numFmtId="0" fontId="21" fillId="3" borderId="73" xfId="0" applyFont="1" applyFill="1" applyBorder="1" applyAlignment="1" applyProtection="1">
      <alignment horizontal="center" vertical="center" shrinkToFit="1"/>
    </xf>
    <xf numFmtId="9" fontId="21" fillId="14" borderId="67" xfId="0" applyNumberFormat="1" applyFont="1" applyFill="1" applyBorder="1" applyAlignment="1" applyProtection="1">
      <alignment horizontal="center" vertical="center"/>
      <protection locked="0"/>
    </xf>
    <xf numFmtId="9" fontId="21" fillId="14" borderId="54" xfId="0" applyNumberFormat="1" applyFont="1" applyFill="1" applyBorder="1" applyAlignment="1" applyProtection="1">
      <alignment horizontal="center" vertical="center"/>
      <protection locked="0"/>
    </xf>
    <xf numFmtId="9" fontId="21" fillId="14" borderId="72" xfId="0" applyNumberFormat="1" applyFont="1" applyFill="1" applyBorder="1" applyAlignment="1" applyProtection="1">
      <alignment horizontal="center" vertical="center"/>
      <protection locked="0"/>
    </xf>
    <xf numFmtId="164" fontId="21" fillId="3" borderId="73" xfId="0" applyNumberFormat="1" applyFont="1" applyFill="1" applyBorder="1" applyAlignment="1" applyProtection="1">
      <alignment horizontal="center" vertical="center"/>
    </xf>
    <xf numFmtId="0" fontId="14" fillId="0" borderId="97" xfId="0" applyFont="1" applyBorder="1" applyAlignment="1" applyProtection="1">
      <alignment horizontal="center" vertical="center" wrapText="1"/>
    </xf>
    <xf numFmtId="0" fontId="14" fillId="0" borderId="98" xfId="0" applyFont="1" applyBorder="1" applyAlignment="1" applyProtection="1">
      <alignment horizontal="center" vertical="center" wrapText="1"/>
    </xf>
    <xf numFmtId="0" fontId="14" fillId="0" borderId="99" xfId="0" applyFont="1" applyBorder="1" applyAlignment="1" applyProtection="1">
      <alignment horizontal="center" vertical="center" wrapText="1"/>
    </xf>
    <xf numFmtId="9" fontId="21" fillId="3" borderId="67" xfId="0" applyNumberFormat="1" applyFont="1" applyFill="1" applyBorder="1" applyAlignment="1" applyProtection="1">
      <alignment horizontal="center" vertical="center"/>
    </xf>
    <xf numFmtId="9" fontId="21" fillId="3" borderId="54" xfId="0" applyNumberFormat="1" applyFont="1" applyFill="1" applyBorder="1" applyAlignment="1" applyProtection="1">
      <alignment horizontal="center" vertical="center"/>
    </xf>
    <xf numFmtId="9" fontId="21" fillId="3" borderId="72" xfId="0" applyNumberFormat="1" applyFont="1" applyFill="1" applyBorder="1" applyAlignment="1" applyProtection="1">
      <alignment horizontal="center" vertical="center"/>
    </xf>
    <xf numFmtId="0" fontId="21" fillId="3" borderId="73" xfId="0" applyNumberFormat="1" applyFont="1" applyFill="1" applyBorder="1" applyAlignment="1" applyProtection="1">
      <alignment horizontal="center" vertical="center"/>
    </xf>
    <xf numFmtId="0" fontId="14" fillId="0" borderId="80" xfId="0" applyFont="1" applyBorder="1" applyAlignment="1" applyProtection="1">
      <alignment horizontal="center" vertical="center" wrapText="1"/>
    </xf>
    <xf numFmtId="0" fontId="71" fillId="0" borderId="97" xfId="0" applyNumberFormat="1" applyFont="1" applyBorder="1" applyAlignment="1" applyProtection="1">
      <alignment horizontal="center" vertical="center"/>
    </xf>
    <xf numFmtId="0" fontId="71" fillId="0" borderId="98" xfId="0" applyNumberFormat="1" applyFont="1" applyBorder="1" applyAlignment="1" applyProtection="1">
      <alignment horizontal="center" vertical="center"/>
    </xf>
    <xf numFmtId="0" fontId="20" fillId="2" borderId="67" xfId="0" applyNumberFormat="1" applyFont="1" applyFill="1" applyBorder="1" applyAlignment="1" applyProtection="1">
      <alignment horizontal="center" vertical="center" wrapText="1"/>
      <protection locked="0"/>
    </xf>
    <xf numFmtId="0" fontId="20" fillId="2" borderId="54" xfId="0" applyNumberFormat="1" applyFont="1" applyFill="1" applyBorder="1" applyAlignment="1" applyProtection="1">
      <alignment horizontal="center" vertical="center" wrapText="1"/>
      <protection locked="0"/>
    </xf>
    <xf numFmtId="0" fontId="20" fillId="0" borderId="67" xfId="0" applyNumberFormat="1" applyFont="1" applyFill="1" applyBorder="1" applyAlignment="1" applyProtection="1">
      <alignment horizontal="center" vertical="center" wrapText="1"/>
      <protection locked="0"/>
    </xf>
    <xf numFmtId="0" fontId="20" fillId="0" borderId="54" xfId="0" applyNumberFormat="1" applyFont="1" applyFill="1" applyBorder="1" applyAlignment="1" applyProtection="1">
      <alignment horizontal="center" vertical="center" wrapText="1"/>
      <protection locked="0"/>
    </xf>
    <xf numFmtId="0" fontId="72" fillId="0" borderId="97" xfId="0" applyFont="1" applyBorder="1" applyAlignment="1" applyProtection="1">
      <alignment horizontal="center" vertical="center" wrapText="1"/>
    </xf>
    <xf numFmtId="0" fontId="72" fillId="0" borderId="98" xfId="0" applyFont="1" applyBorder="1" applyAlignment="1" applyProtection="1">
      <alignment horizontal="center" vertical="center" wrapText="1"/>
    </xf>
    <xf numFmtId="0" fontId="72" fillId="0" borderId="99" xfId="0" applyFont="1" applyBorder="1" applyAlignment="1" applyProtection="1">
      <alignment horizontal="center" vertical="center" wrapText="1"/>
    </xf>
    <xf numFmtId="0" fontId="20" fillId="2" borderId="67" xfId="0" applyFont="1" applyFill="1" applyBorder="1" applyAlignment="1" applyProtection="1">
      <alignment horizontal="center" vertical="center" wrapText="1"/>
      <protection locked="0"/>
    </xf>
    <xf numFmtId="0" fontId="20" fillId="2" borderId="54" xfId="0" applyFont="1" applyFill="1" applyBorder="1" applyAlignment="1" applyProtection="1">
      <alignment horizontal="center" vertical="center" wrapText="1"/>
      <protection locked="0"/>
    </xf>
    <xf numFmtId="0" fontId="20" fillId="2" borderId="72" xfId="0" applyFont="1" applyFill="1" applyBorder="1" applyAlignment="1" applyProtection="1">
      <alignment horizontal="center" vertical="center" wrapText="1"/>
      <protection locked="0"/>
    </xf>
    <xf numFmtId="0" fontId="20" fillId="0" borderId="67" xfId="0" applyFont="1" applyBorder="1" applyAlignment="1" applyProtection="1">
      <alignment horizontal="center" vertical="center" wrapText="1"/>
      <protection locked="0"/>
    </xf>
    <xf numFmtId="0" fontId="20" fillId="0" borderId="54" xfId="0" applyFont="1" applyBorder="1" applyAlignment="1" applyProtection="1">
      <alignment horizontal="center" vertical="center" wrapText="1"/>
      <protection locked="0"/>
    </xf>
    <xf numFmtId="0" fontId="20" fillId="0" borderId="72" xfId="0" applyFont="1" applyBorder="1" applyAlignment="1" applyProtection="1">
      <alignment horizontal="center" vertical="center" wrapText="1"/>
      <protection locked="0"/>
    </xf>
    <xf numFmtId="0" fontId="0" fillId="0" borderId="0" xfId="0" applyBorder="1" applyAlignment="1" applyProtection="1">
      <alignment horizontal="center"/>
    </xf>
    <xf numFmtId="0" fontId="21" fillId="3" borderId="67" xfId="0" applyFont="1" applyFill="1" applyBorder="1" applyAlignment="1" applyProtection="1">
      <alignment horizontal="center" vertical="center" shrinkToFit="1"/>
    </xf>
    <xf numFmtId="0" fontId="21" fillId="3" borderId="54" xfId="0" applyFont="1" applyFill="1" applyBorder="1" applyAlignment="1" applyProtection="1">
      <alignment horizontal="center" vertical="center" shrinkToFit="1"/>
    </xf>
    <xf numFmtId="0" fontId="21" fillId="3" borderId="72" xfId="0" applyFont="1" applyFill="1" applyBorder="1" applyAlignment="1" applyProtection="1">
      <alignment horizontal="center" vertical="center" shrinkToFit="1"/>
    </xf>
    <xf numFmtId="0" fontId="14" fillId="0" borderId="121" xfId="0" applyNumberFormat="1" applyFont="1" applyBorder="1" applyAlignment="1" applyProtection="1">
      <alignment horizontal="center" vertical="center" shrinkToFit="1"/>
    </xf>
    <xf numFmtId="0" fontId="53" fillId="0" borderId="73" xfId="0" applyFont="1" applyFill="1" applyBorder="1" applyAlignment="1" applyProtection="1">
      <alignment horizontal="center" vertical="center" wrapText="1"/>
    </xf>
    <xf numFmtId="0" fontId="49" fillId="0" borderId="67" xfId="0" applyFont="1" applyFill="1" applyBorder="1" applyAlignment="1" applyProtection="1">
      <alignment horizontal="left" vertical="center" wrapText="1"/>
    </xf>
    <xf numFmtId="0" fontId="49" fillId="0" borderId="54" xfId="0" applyFont="1" applyFill="1" applyBorder="1" applyAlignment="1" applyProtection="1">
      <alignment horizontal="left" vertical="center" wrapText="1"/>
    </xf>
    <xf numFmtId="0" fontId="49" fillId="0" borderId="72" xfId="0" applyFont="1" applyFill="1" applyBorder="1" applyAlignment="1" applyProtection="1">
      <alignment horizontal="left" vertical="center" wrapText="1"/>
    </xf>
    <xf numFmtId="0" fontId="49" fillId="3" borderId="73" xfId="0" applyNumberFormat="1" applyFont="1" applyFill="1" applyBorder="1" applyAlignment="1" applyProtection="1">
      <alignment horizontal="center" vertical="center" shrinkToFit="1"/>
    </xf>
    <xf numFmtId="0" fontId="18" fillId="0" borderId="96" xfId="0" applyFont="1" applyBorder="1" applyAlignment="1" applyProtection="1">
      <alignment horizontal="left" wrapText="1"/>
    </xf>
    <xf numFmtId="0" fontId="71" fillId="0" borderId="0" xfId="0" applyFont="1" applyAlignment="1" applyProtection="1">
      <alignment horizontal="center" vertical="center"/>
    </xf>
    <xf numFmtId="0" fontId="10" fillId="0" borderId="0" xfId="0" applyFont="1" applyAlignment="1" applyProtection="1">
      <alignment horizontal="center" vertical="center"/>
    </xf>
    <xf numFmtId="0" fontId="10" fillId="0" borderId="1" xfId="0" applyFont="1" applyBorder="1" applyAlignment="1" applyProtection="1">
      <alignment horizontal="center" vertical="center"/>
    </xf>
    <xf numFmtId="0" fontId="70" fillId="2" borderId="25" xfId="0" applyFont="1" applyFill="1" applyBorder="1" applyAlignment="1" applyProtection="1">
      <alignment horizontal="center" vertical="center"/>
    </xf>
    <xf numFmtId="0" fontId="70" fillId="2" borderId="27" xfId="0" applyFont="1" applyFill="1" applyBorder="1" applyAlignment="1" applyProtection="1">
      <alignment horizontal="center" vertical="center"/>
    </xf>
    <xf numFmtId="0" fontId="70" fillId="2" borderId="26" xfId="0" applyFont="1" applyFill="1" applyBorder="1" applyAlignment="1" applyProtection="1">
      <alignment horizontal="center" vertical="center"/>
    </xf>
    <xf numFmtId="0" fontId="30" fillId="0" borderId="25" xfId="0" applyFont="1" applyBorder="1" applyAlignment="1" applyProtection="1">
      <alignment horizontal="center" vertical="center"/>
    </xf>
    <xf numFmtId="0" fontId="30" fillId="0" borderId="26" xfId="0" applyFont="1" applyBorder="1" applyAlignment="1" applyProtection="1">
      <alignment horizontal="center" vertical="center"/>
    </xf>
    <xf numFmtId="0" fontId="30" fillId="0" borderId="27" xfId="0" applyFont="1" applyBorder="1" applyAlignment="1" applyProtection="1">
      <alignment horizontal="center" vertical="center"/>
    </xf>
    <xf numFmtId="0" fontId="14" fillId="0" borderId="73" xfId="0" applyFont="1" applyFill="1" applyBorder="1" applyAlignment="1" applyProtection="1">
      <alignment horizontal="center" vertical="center" shrinkToFit="1"/>
      <protection locked="0"/>
    </xf>
    <xf numFmtId="0" fontId="14" fillId="2" borderId="73" xfId="0" applyFont="1" applyFill="1" applyBorder="1" applyAlignment="1" applyProtection="1">
      <alignment horizontal="center" shrinkToFit="1"/>
      <protection locked="0"/>
    </xf>
    <xf numFmtId="0" fontId="14" fillId="0" borderId="73" xfId="0" applyFont="1" applyBorder="1" applyAlignment="1" applyProtection="1">
      <alignment horizontal="center" shrinkToFit="1"/>
      <protection locked="0"/>
    </xf>
    <xf numFmtId="0" fontId="15" fillId="2" borderId="73" xfId="0" applyFont="1" applyFill="1" applyBorder="1" applyAlignment="1" applyProtection="1">
      <alignment horizontal="center" shrinkToFit="1"/>
      <protection locked="0"/>
    </xf>
    <xf numFmtId="0" fontId="19" fillId="2" borderId="73" xfId="0" applyFont="1" applyFill="1" applyBorder="1" applyAlignment="1" applyProtection="1">
      <alignment horizontal="center" shrinkToFit="1"/>
      <protection locked="0"/>
    </xf>
    <xf numFmtId="0" fontId="19" fillId="0" borderId="73" xfId="0" applyFont="1" applyBorder="1" applyAlignment="1" applyProtection="1">
      <alignment horizontal="center" shrinkToFit="1"/>
      <protection locked="0"/>
    </xf>
    <xf numFmtId="0" fontId="39" fillId="0" borderId="0" xfId="0" applyFont="1" applyAlignment="1" applyProtection="1">
      <alignment horizontal="center" vertical="center"/>
    </xf>
    <xf numFmtId="0" fontId="44" fillId="0" borderId="96" xfId="0" applyFont="1" applyBorder="1" applyAlignment="1" applyProtection="1">
      <alignment horizontal="left" vertical="center"/>
    </xf>
    <xf numFmtId="173" fontId="11" fillId="3" borderId="109" xfId="0" applyNumberFormat="1" applyFont="1" applyFill="1" applyBorder="1" applyAlignment="1" applyProtection="1">
      <alignment horizontal="left" vertical="center" shrinkToFit="1"/>
    </xf>
    <xf numFmtId="173" fontId="11" fillId="3" borderId="110" xfId="0" applyNumberFormat="1" applyFont="1" applyFill="1" applyBorder="1" applyAlignment="1" applyProtection="1">
      <alignment horizontal="left" vertical="center" shrinkToFit="1"/>
    </xf>
    <xf numFmtId="173" fontId="11" fillId="3" borderId="112" xfId="0" applyNumberFormat="1" applyFont="1" applyFill="1" applyBorder="1" applyAlignment="1" applyProtection="1">
      <alignment horizontal="left" vertical="center" shrinkToFit="1"/>
    </xf>
    <xf numFmtId="0" fontId="12" fillId="4" borderId="109" xfId="0" applyFont="1" applyFill="1" applyBorder="1" applyAlignment="1" applyProtection="1">
      <alignment horizontal="right" vertical="center"/>
    </xf>
    <xf numFmtId="0" fontId="13" fillId="3" borderId="109" xfId="0" applyFont="1" applyFill="1" applyBorder="1" applyAlignment="1" applyProtection="1">
      <alignment horizontal="left" vertical="center" shrinkToFit="1"/>
    </xf>
    <xf numFmtId="166" fontId="13" fillId="3" borderId="114" xfId="0" applyNumberFormat="1" applyFont="1" applyFill="1" applyBorder="1" applyAlignment="1" applyProtection="1">
      <alignment horizontal="left" vertical="center" shrinkToFit="1"/>
    </xf>
    <xf numFmtId="0" fontId="10" fillId="3" borderId="111" xfId="0" applyFont="1" applyFill="1" applyBorder="1" applyAlignment="1" applyProtection="1">
      <alignment horizontal="right" vertical="center" shrinkToFit="1"/>
    </xf>
    <xf numFmtId="0" fontId="10" fillId="3" borderId="111" xfId="0" applyFont="1" applyFill="1" applyBorder="1" applyAlignment="1" applyProtection="1">
      <alignment horizontal="right" vertical="center"/>
    </xf>
    <xf numFmtId="0" fontId="10" fillId="3" borderId="108" xfId="0" applyFont="1" applyFill="1" applyBorder="1" applyAlignment="1" applyProtection="1">
      <alignment horizontal="right" vertical="center"/>
    </xf>
    <xf numFmtId="0" fontId="10" fillId="3" borderId="109" xfId="0" applyFont="1" applyFill="1" applyBorder="1" applyAlignment="1" applyProtection="1">
      <alignment horizontal="right" vertical="center"/>
    </xf>
    <xf numFmtId="0" fontId="10" fillId="3" borderId="113" xfId="0" applyFont="1" applyFill="1" applyBorder="1" applyAlignment="1" applyProtection="1">
      <alignment horizontal="right" vertical="center"/>
    </xf>
    <xf numFmtId="0" fontId="10" fillId="3" borderId="114" xfId="0" applyFont="1" applyFill="1" applyBorder="1" applyAlignment="1" applyProtection="1">
      <alignment horizontal="right" vertical="center"/>
    </xf>
    <xf numFmtId="14" fontId="21" fillId="3" borderId="73" xfId="0" applyNumberFormat="1" applyFont="1" applyFill="1" applyBorder="1" applyAlignment="1" applyProtection="1">
      <alignment horizontal="center" vertical="center" shrinkToFit="1"/>
    </xf>
    <xf numFmtId="14" fontId="21" fillId="0" borderId="73" xfId="0" applyNumberFormat="1" applyFont="1" applyFill="1" applyBorder="1" applyAlignment="1" applyProtection="1">
      <alignment horizontal="center" vertical="center" shrinkToFit="1"/>
    </xf>
    <xf numFmtId="0" fontId="50" fillId="8" borderId="12" xfId="0" applyFont="1" applyFill="1" applyBorder="1" applyAlignment="1" applyProtection="1">
      <alignment horizontal="left" vertical="center" shrinkToFit="1"/>
    </xf>
    <xf numFmtId="0" fontId="14" fillId="0" borderId="73" xfId="0" applyFont="1" applyBorder="1" applyAlignment="1" applyProtection="1">
      <alignment horizontal="center" wrapText="1"/>
    </xf>
    <xf numFmtId="0" fontId="21" fillId="0" borderId="73" xfId="0" applyFont="1" applyBorder="1" applyAlignment="1" applyProtection="1">
      <alignment horizontal="center" wrapText="1"/>
    </xf>
    <xf numFmtId="0" fontId="14" fillId="0" borderId="0" xfId="0" applyFont="1" applyAlignment="1" applyProtection="1">
      <alignment horizontal="center"/>
    </xf>
    <xf numFmtId="0" fontId="13" fillId="3" borderId="112" xfId="0" applyFont="1" applyFill="1" applyBorder="1" applyAlignment="1" applyProtection="1">
      <alignment horizontal="left" vertical="center" shrinkToFit="1"/>
    </xf>
    <xf numFmtId="0" fontId="13" fillId="3" borderId="114" xfId="0" applyFont="1" applyFill="1" applyBorder="1" applyAlignment="1" applyProtection="1">
      <alignment horizontal="left" vertical="center" shrinkToFit="1"/>
    </xf>
    <xf numFmtId="0" fontId="13" fillId="3" borderId="115" xfId="0" applyFont="1" applyFill="1" applyBorder="1" applyAlignment="1" applyProtection="1">
      <alignment horizontal="left" vertical="center" shrinkToFit="1"/>
    </xf>
    <xf numFmtId="0" fontId="12" fillId="4" borderId="114" xfId="0" applyFont="1" applyFill="1" applyBorder="1" applyAlignment="1" applyProtection="1">
      <alignment horizontal="right" vertical="center"/>
    </xf>
  </cellXfs>
  <cellStyles count="1347">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Hyperlink" xfId="1" builtinId="8"/>
    <cellStyle name="Normal" xfId="0" builtinId="0"/>
  </cellStyles>
  <dxfs count="0"/>
  <tableStyles count="0" defaultTableStyle="TableStyleMedium9" defaultPivotStyle="PivotStyleMedium4"/>
  <colors>
    <mruColors>
      <color rgb="FF006001"/>
      <color rgb="FF009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trlProps/ctrlProp1.xml><?xml version="1.0" encoding="utf-8"?>
<formControlPr xmlns="http://schemas.microsoft.com/office/spreadsheetml/2009/9/main" objectType="Drop" dropLines="57" dropStyle="combo" dx="16" fmlaLink="'FACT 1'!$AA$96" fmlaRange="'FACT 1'!$O$93:$O$98" sel="3" val="0"/>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Drop" dropLines="57" dropStyle="combo" dx="16" fmlaLink="$Y$92" fmlaRange="$X$92:$X$93" sel="2" val="0"/>
</file>

<file path=xl/ctrlProps/ctrlProp15.xml><?xml version="1.0" encoding="utf-8"?>
<formControlPr xmlns="http://schemas.microsoft.com/office/spreadsheetml/2009/9/main" objectType="Scroll" dx="16" fmlaLink="$P$104" horiz="1" max="550" page="10" val="0"/>
</file>

<file path=xl/ctrlProps/ctrlProp16.xml><?xml version="1.0" encoding="utf-8"?>
<formControlPr xmlns="http://schemas.microsoft.com/office/spreadsheetml/2009/9/main" objectType="Drop" dropLines="47" dropStyle="combo" dx="16" fmlaLink="AGREEMENT!$Q$138" fmlaRange="AGREEMENT!$E$136:$E$139" sel="4" val="0"/>
</file>

<file path=xl/ctrlProps/ctrlProp17.xml><?xml version="1.0" encoding="utf-8"?>
<formControlPr xmlns="http://schemas.microsoft.com/office/spreadsheetml/2009/9/main" objectType="Drop" dropLines="57" dropStyle="combo" dx="16" fmlaLink="'FACT 1'!$T$102" fmlaRange="'FACT 1'!$D$93:$D$105" sel="13" val="0"/>
</file>

<file path=xl/ctrlProps/ctrlProp18.xml><?xml version="1.0" encoding="utf-8"?>
<formControlPr xmlns="http://schemas.microsoft.com/office/spreadsheetml/2009/9/main" objectType="Drop" dropLines="47" dropStyle="combo" dx="16" fmlaLink="'FACT 1'!$W$102" fmlaRange="'FACT 1'!$B$93:$B$99" sel="3" val="0"/>
</file>

<file path=xl/ctrlProps/ctrlProp19.xml><?xml version="1.0" encoding="utf-8"?>
<formControlPr xmlns="http://schemas.microsoft.com/office/spreadsheetml/2009/9/main" objectType="Drop" dropLines="57" dropStyle="combo" dx="16" fmlaLink="'FACT 1'!$AB$102" fmlaRange="'FACT 1'!$T$92:$W$100" sel="6" val="0"/>
</file>

<file path=xl/ctrlProps/ctrlProp2.xml><?xml version="1.0" encoding="utf-8"?>
<formControlPr xmlns="http://schemas.microsoft.com/office/spreadsheetml/2009/9/main" objectType="Drop" dropLines="57" dropStyle="combo" dx="16" fmlaLink="AGREEMENT!$Y$126" fmlaRange="AGREEMENT!$R$135:$R$139" sel="2" val="0"/>
</file>

<file path=xl/ctrlProps/ctrlProp20.xml><?xml version="1.0" encoding="utf-8"?>
<formControlPr xmlns="http://schemas.microsoft.com/office/spreadsheetml/2009/9/main" objectType="Drop" dropLines="57" dropStyle="combo" dx="16" fmlaLink="AGREEMENT!$P$145" fmlaRange="AGREEMENT!$D$136:$D$137" sel="2" val="0"/>
</file>

<file path=xl/ctrlProps/ctrlProp21.xml><?xml version="1.0" encoding="utf-8"?>
<formControlPr xmlns="http://schemas.microsoft.com/office/spreadsheetml/2009/9/main" objectType="Drop" dropLines="57" dropStyle="combo" dx="16" fmlaLink="'FACT 1'!$Q$102" fmlaRange="'FACT 1'!$E$93:$E$101" sel="8" val="0"/>
</file>

<file path=xl/ctrlProps/ctrlProp22.xml><?xml version="1.0" encoding="utf-8"?>
<formControlPr xmlns="http://schemas.microsoft.com/office/spreadsheetml/2009/9/main" objectType="Drop" dropLines="57" dropStyle="combo" dx="16" fmlaLink="AGREEMENT!$Y$126" fmlaRange="AGREEMENT!$R$135:$R$139" sel="2" val="0"/>
</file>

<file path=xl/ctrlProps/ctrlProp3.xml><?xml version="1.0" encoding="utf-8"?>
<formControlPr xmlns="http://schemas.microsoft.com/office/spreadsheetml/2009/9/main" objectType="Drop" dropLines="57" dropStyle="combo" dx="16" fmlaLink="'FACT 1'!$AB$102" fmlaRange="'FACT 1'!$T$92:$W$100" sel="6" val="0"/>
</file>

<file path=xl/ctrlProps/ctrlProp4.xml><?xml version="1.0" encoding="utf-8"?>
<formControlPr xmlns="http://schemas.microsoft.com/office/spreadsheetml/2009/9/main" objectType="Drop" dropLines="57" dropStyle="combo" dx="16" fmlaLink="'FACT 1'!$W$102" fmlaRange="'FACT 1'!$B$93:$B$99" sel="3" val="0"/>
</file>

<file path=xl/ctrlProps/ctrlProp5.xml><?xml version="1.0" encoding="utf-8"?>
<formControlPr xmlns="http://schemas.microsoft.com/office/spreadsheetml/2009/9/main" objectType="Drop" dropLines="47" dropStyle="combo" dx="16" fmlaLink="'FACT 1'!$T$102" fmlaRange="'FACT 1'!$D$93:$D$105" sel="13" val="0"/>
</file>

<file path=xl/ctrlProps/ctrlProp6.xml><?xml version="1.0" encoding="utf-8"?>
<formControlPr xmlns="http://schemas.microsoft.com/office/spreadsheetml/2009/9/main" objectType="Drop" dropLines="57" dropStyle="combo" dx="16" fmlaLink="$Q$138" fmlaRange="$E$136:$E$139" sel="4" val="0"/>
</file>

<file path=xl/ctrlProps/ctrlProp7.xml><?xml version="1.0" encoding="utf-8"?>
<formControlPr xmlns="http://schemas.microsoft.com/office/spreadsheetml/2009/9/main" objectType="Drop" dropLines="57" dropStyle="combo" dx="16" fmlaLink="'FACT 1'!$Q$102" fmlaRange="'FACT 1'!$E$93:$E$101" sel="8" val="0"/>
</file>

<file path=xl/ctrlProps/ctrlProp8.xml><?xml version="1.0" encoding="utf-8"?>
<formControlPr xmlns="http://schemas.microsoft.com/office/spreadsheetml/2009/9/main" objectType="Drop" dropLines="57" dropStyle="combo" dx="16" fmlaLink="$P$145" fmlaRange="$D$136:$D$137" sel="2" val="0"/>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emf"/></Relationships>
</file>

<file path=xl/drawings/_rels/drawing2.xml.rels><?xml version="1.0" encoding="UTF-8" standalone="yes"?>
<Relationships xmlns="http://schemas.openxmlformats.org/package/2006/relationships"><Relationship Id="rId3" Type="http://schemas.openxmlformats.org/officeDocument/2006/relationships/image" Target="../media/image1.emf"/><Relationship Id="rId4" Type="http://schemas.openxmlformats.org/officeDocument/2006/relationships/image" Target="../media/image5.png"/><Relationship Id="rId5" Type="http://schemas.openxmlformats.org/officeDocument/2006/relationships/image" Target="file://localhost/Users/skylight/Dropbox/Graphic%20Design/Graphics/tv.png" TargetMode="External"/><Relationship Id="rId6" Type="http://schemas.openxmlformats.org/officeDocument/2006/relationships/image" Target="../media/image6.png"/><Relationship Id="rId7" Type="http://schemas.openxmlformats.org/officeDocument/2006/relationships/image" Target="file://localhost/Users/clinks/Desktop/valet-parking-512.png" TargetMode="External"/><Relationship Id="rId8" Type="http://schemas.openxmlformats.org/officeDocument/2006/relationships/image" Target="../media/image7.png"/><Relationship Id="rId9" Type="http://schemas.openxmlformats.org/officeDocument/2006/relationships/image" Target="file://localhost/Users/clinks/Desktop/garage_multilevel-512.png" TargetMode="External"/><Relationship Id="rId10" Type="http://schemas.openxmlformats.org/officeDocument/2006/relationships/image" Target="../media/image8.png"/><Relationship Id="rId11" Type="http://schemas.openxmlformats.org/officeDocument/2006/relationships/image" Target="file://localhost/Users/skylight/Dropbox/Graphic%20Design/Graphics/051352-glossy-black-icon-natural-wonders-fire3.png" TargetMode="External"/><Relationship Id="rId1" Type="http://schemas.openxmlformats.org/officeDocument/2006/relationships/image" Target="../media/image4.png"/><Relationship Id="rId2" Type="http://schemas.openxmlformats.org/officeDocument/2006/relationships/image" Target="file://localhost/Users/skylight/Dropbox/Graphic%20Design/Building%20Drawings/Blueprints%20-%20Blank:Modified/No%20Table%20Floor%20Plan%20_%20Working.png"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emf"/><Relationship Id="rId4" Type="http://schemas.openxmlformats.org/officeDocument/2006/relationships/image" Target="../media/image5.png"/><Relationship Id="rId5" Type="http://schemas.openxmlformats.org/officeDocument/2006/relationships/image" Target="file://localhost/Users/skylight/Dropbox/Graphic%20Design/Graphics/tv.png" TargetMode="External"/><Relationship Id="rId6" Type="http://schemas.openxmlformats.org/officeDocument/2006/relationships/image" Target="../media/image8.png"/><Relationship Id="rId7" Type="http://schemas.openxmlformats.org/officeDocument/2006/relationships/image" Target="file://localhost/Users/skylight/Dropbox/Graphic%20Design/Graphics/051352-glossy-black-icon-natural-wonders-fire3.png" TargetMode="External"/><Relationship Id="rId1" Type="http://schemas.openxmlformats.org/officeDocument/2006/relationships/image" Target="../media/image4.png"/><Relationship Id="rId2" Type="http://schemas.openxmlformats.org/officeDocument/2006/relationships/image" Target="file://localhost/Users/skylight/Dropbox/Graphic%20Design/Building%20Drawings/Blueprints%20-%20Blank:Modified/No%20Table%20Floor%20Plan%20_%20Working.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12.png"/><Relationship Id="rId3" Type="http://schemas.openxmlformats.org/officeDocument/2006/relationships/image" Target="../media/image1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8464</xdr:colOff>
      <xdr:row>1</xdr:row>
      <xdr:rowOff>12354</xdr:rowOff>
    </xdr:from>
    <xdr:to>
      <xdr:col>4</xdr:col>
      <xdr:colOff>186266</xdr:colOff>
      <xdr:row>5</xdr:row>
      <xdr:rowOff>10365</xdr:rowOff>
    </xdr:to>
    <xdr:pic>
      <xdr:nvPicPr>
        <xdr:cNvPr id="2" name="Picture 1" descr="Logo with Location.pd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264" y="37754"/>
          <a:ext cx="939802" cy="607611"/>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24</xdr:col>
          <xdr:colOff>25400</xdr:colOff>
          <xdr:row>20</xdr:row>
          <xdr:rowOff>165100</xdr:rowOff>
        </xdr:from>
        <xdr:to>
          <xdr:col>26</xdr:col>
          <xdr:colOff>241300</xdr:colOff>
          <xdr:row>23</xdr:row>
          <xdr:rowOff>0</xdr:rowOff>
        </xdr:to>
        <xdr:sp macro="" textlink="">
          <xdr:nvSpPr>
            <xdr:cNvPr id="6147" name="Drop Down 3" hidden="1">
              <a:extLst>
                <a:ext uri="{63B3BB69-23CF-44E3-9099-C40C66FF867C}">
                  <a14:compatExt spid="_x0000_s614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21</xdr:col>
          <xdr:colOff>25400</xdr:colOff>
          <xdr:row>20</xdr:row>
          <xdr:rowOff>165100</xdr:rowOff>
        </xdr:from>
        <xdr:to>
          <xdr:col>23</xdr:col>
          <xdr:colOff>241300</xdr:colOff>
          <xdr:row>23</xdr:row>
          <xdr:rowOff>0</xdr:rowOff>
        </xdr:to>
        <xdr:sp macro="" textlink="">
          <xdr:nvSpPr>
            <xdr:cNvPr id="6148" name="Drop Down 4" hidden="1">
              <a:extLst>
                <a:ext uri="{63B3BB69-23CF-44E3-9099-C40C66FF867C}">
                  <a14:compatExt spid="_x0000_s614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25400</xdr:colOff>
          <xdr:row>20</xdr:row>
          <xdr:rowOff>165100</xdr:rowOff>
        </xdr:from>
        <xdr:to>
          <xdr:col>20</xdr:col>
          <xdr:colOff>241300</xdr:colOff>
          <xdr:row>23</xdr:row>
          <xdr:rowOff>0</xdr:rowOff>
        </xdr:to>
        <xdr:sp macro="" textlink="">
          <xdr:nvSpPr>
            <xdr:cNvPr id="6149" name="Drop Down 5" hidden="1">
              <a:extLst>
                <a:ext uri="{63B3BB69-23CF-44E3-9099-C40C66FF867C}">
                  <a14:compatExt spid="_x0000_s614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0</xdr:colOff>
          <xdr:row>20</xdr:row>
          <xdr:rowOff>165100</xdr:rowOff>
        </xdr:from>
        <xdr:to>
          <xdr:col>11</xdr:col>
          <xdr:colOff>228600</xdr:colOff>
          <xdr:row>23</xdr:row>
          <xdr:rowOff>0</xdr:rowOff>
        </xdr:to>
        <xdr:sp macro="" textlink="">
          <xdr:nvSpPr>
            <xdr:cNvPr id="6150" name="Drop Down 6" hidden="1">
              <a:extLst>
                <a:ext uri="{63B3BB69-23CF-44E3-9099-C40C66FF867C}">
                  <a14:compatExt spid="_x0000_s615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12700</xdr:colOff>
          <xdr:row>20</xdr:row>
          <xdr:rowOff>165100</xdr:rowOff>
        </xdr:from>
        <xdr:to>
          <xdr:col>17</xdr:col>
          <xdr:colOff>241300</xdr:colOff>
          <xdr:row>23</xdr:row>
          <xdr:rowOff>0</xdr:rowOff>
        </xdr:to>
        <xdr:sp macro="" textlink="">
          <xdr:nvSpPr>
            <xdr:cNvPr id="6151" name="Drop Down 7" hidden="1">
              <a:extLst>
                <a:ext uri="{63B3BB69-23CF-44E3-9099-C40C66FF867C}">
                  <a14:compatExt spid="_x0000_s615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25400</xdr:colOff>
          <xdr:row>27</xdr:row>
          <xdr:rowOff>165100</xdr:rowOff>
        </xdr:from>
        <xdr:to>
          <xdr:col>8</xdr:col>
          <xdr:colOff>241300</xdr:colOff>
          <xdr:row>29</xdr:row>
          <xdr:rowOff>25400</xdr:rowOff>
        </xdr:to>
        <xdr:sp macro="" textlink="">
          <xdr:nvSpPr>
            <xdr:cNvPr id="6157" name="Drop Down 13" hidden="1">
              <a:extLst>
                <a:ext uri="{63B3BB69-23CF-44E3-9099-C40C66FF867C}">
                  <a14:compatExt spid="_x0000_s6157"/>
                </a:ext>
              </a:extLst>
            </xdr:cNvPr>
            <xdr:cNvSpPr/>
          </xdr:nvSpPr>
          <xdr:spPr>
            <a:xfrm>
              <a:off x="0" y="0"/>
              <a:ext cx="0" cy="0"/>
            </a:xfrm>
            <a:prstGeom prst="rect">
              <a:avLst/>
            </a:prstGeom>
          </xdr:spPr>
        </xdr:sp>
        <xdr:clientData fPrintsWithSheet="0"/>
      </xdr:twoCellAnchor>
    </mc:Choice>
    <mc:Fallback/>
  </mc:AlternateContent>
  <xdr:twoCellAnchor editAs="oneCell">
    <xdr:from>
      <xdr:col>1</xdr:col>
      <xdr:colOff>156639</xdr:colOff>
      <xdr:row>69</xdr:row>
      <xdr:rowOff>455085</xdr:rowOff>
    </xdr:from>
    <xdr:to>
      <xdr:col>18</xdr:col>
      <xdr:colOff>4239</xdr:colOff>
      <xdr:row>71</xdr:row>
      <xdr:rowOff>6352</xdr:rowOff>
    </xdr:to>
    <xdr:pic>
      <xdr:nvPicPr>
        <xdr:cNvPr id="4" name="Picture 3" descr="Microsoft Word - EVENT PRICING.pdf"/>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6286"/>
        <a:stretch/>
      </xdr:blipFill>
      <xdr:spPr>
        <a:xfrm>
          <a:off x="207439" y="18506018"/>
          <a:ext cx="4165600" cy="1905000"/>
        </a:xfrm>
        <a:prstGeom prst="rect">
          <a:avLst/>
        </a:prstGeom>
      </xdr:spPr>
    </xdr:pic>
    <xdr:clientData/>
  </xdr:twoCellAnchor>
  <xdr:absoluteAnchor>
    <xdr:pos x="1077383" y="2819391"/>
    <xdr:ext cx="5563870" cy="139700"/>
    <xdr:sp macro="" textlink="">
      <xdr:nvSpPr>
        <xdr:cNvPr id="3" name="TextBox 2"/>
        <xdr:cNvSpPr txBox="1"/>
      </xdr:nvSpPr>
      <xdr:spPr>
        <a:xfrm>
          <a:off x="1077383" y="2819391"/>
          <a:ext cx="5563870" cy="1397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500" u="none">
              <a:solidFill>
                <a:srgbClr val="800000"/>
              </a:solidFill>
              <a:latin typeface="Wingdings"/>
              <a:ea typeface="Wingdings"/>
              <a:cs typeface="Wingdings"/>
            </a:rPr>
            <a:t></a:t>
          </a:r>
          <a:r>
            <a:rPr lang="en-US" sz="700" u="none">
              <a:solidFill>
                <a:srgbClr val="800000"/>
              </a:solidFill>
              <a:latin typeface="Calibri"/>
              <a:cs typeface="Calibri"/>
            </a:rPr>
            <a:t>Valid Data Format: </a:t>
          </a:r>
          <a:r>
            <a:rPr lang="en-US" sz="700" b="1">
              <a:solidFill>
                <a:srgbClr val="800000"/>
              </a:solidFill>
              <a:latin typeface="Calibri"/>
              <a:cs typeface="Calibri"/>
            </a:rPr>
            <a:t>Date =</a:t>
          </a:r>
          <a:r>
            <a:rPr lang="en-US" sz="700">
              <a:solidFill>
                <a:srgbClr val="800000"/>
              </a:solidFill>
              <a:latin typeface="Calibri"/>
              <a:cs typeface="Calibri"/>
            </a:rPr>
            <a:t> </a:t>
          </a:r>
          <a:r>
            <a:rPr lang="en-US" sz="700" b="1" u="none">
              <a:solidFill>
                <a:srgbClr val="800000"/>
              </a:solidFill>
              <a:latin typeface="Calibri"/>
              <a:cs typeface="Calibri"/>
            </a:rPr>
            <a:t>mm/dd/yy</a:t>
          </a:r>
          <a:r>
            <a:rPr lang="en-US" sz="700" u="none">
              <a:solidFill>
                <a:srgbClr val="800000"/>
              </a:solidFill>
              <a:latin typeface="Calibri"/>
              <a:cs typeface="Calibri"/>
            </a:rPr>
            <a:t> </a:t>
          </a:r>
          <a:r>
            <a:rPr lang="en-US" sz="700">
              <a:solidFill>
                <a:srgbClr val="800000"/>
              </a:solidFill>
              <a:latin typeface="Calibri"/>
              <a:cs typeface="Calibri"/>
            </a:rPr>
            <a:t>(forward slash "/" between values) </a:t>
          </a:r>
          <a:r>
            <a:rPr lang="en-US" sz="700" b="1">
              <a:solidFill>
                <a:srgbClr val="800000"/>
              </a:solidFill>
              <a:latin typeface="Calibri"/>
              <a:cs typeface="Calibri"/>
            </a:rPr>
            <a:t>Time </a:t>
          </a:r>
          <a:r>
            <a:rPr lang="en-US" sz="700" b="1" u="none">
              <a:solidFill>
                <a:srgbClr val="800000"/>
              </a:solidFill>
              <a:latin typeface="Calibri"/>
              <a:cs typeface="Calibri"/>
            </a:rPr>
            <a:t>=</a:t>
          </a:r>
          <a:r>
            <a:rPr lang="en-US" sz="700" u="none">
              <a:solidFill>
                <a:srgbClr val="800000"/>
              </a:solidFill>
              <a:latin typeface="Calibri"/>
              <a:cs typeface="Calibri"/>
            </a:rPr>
            <a:t> </a:t>
          </a:r>
          <a:r>
            <a:rPr lang="en-US" sz="700" b="1" u="none">
              <a:solidFill>
                <a:srgbClr val="800000"/>
              </a:solidFill>
              <a:latin typeface="Calibri"/>
              <a:cs typeface="Calibri"/>
            </a:rPr>
            <a:t>8:00 PM </a:t>
          </a:r>
          <a:r>
            <a:rPr lang="en-US" sz="700" u="none">
              <a:solidFill>
                <a:srgbClr val="800000"/>
              </a:solidFill>
              <a:latin typeface="Calibri"/>
              <a:cs typeface="Calibri"/>
            </a:rPr>
            <a:t>(</a:t>
          </a:r>
          <a:r>
            <a:rPr lang="en-US" sz="700">
              <a:solidFill>
                <a:srgbClr val="800000"/>
              </a:solidFill>
              <a:latin typeface="Calibri"/>
              <a:cs typeface="Calibri"/>
            </a:rPr>
            <a:t>time value followed by a space &amp; PM or P)</a:t>
          </a:r>
          <a:r>
            <a:rPr lang="en-US" sz="500">
              <a:solidFill>
                <a:srgbClr val="800000"/>
              </a:solidFill>
              <a:latin typeface="Wingdings"/>
              <a:ea typeface="Wingdings"/>
              <a:cs typeface="Wingdings"/>
            </a:rPr>
            <a:t></a:t>
          </a:r>
          <a:endParaRPr lang="en-US" sz="500">
            <a:solidFill>
              <a:srgbClr val="800000"/>
            </a:solidFill>
            <a:latin typeface="Gill Sans Light"/>
            <a:cs typeface="Gill Sans Light"/>
          </a:endParaRPr>
        </a:p>
      </xdr:txBody>
    </xdr:sp>
    <xdr:clientData fPrintsWithSheet="0"/>
  </xdr:absoluteAnchor>
  <mc:AlternateContent xmlns:mc="http://schemas.openxmlformats.org/markup-compatibility/2006">
    <mc:Choice xmlns:a14="http://schemas.microsoft.com/office/drawing/2010/main" Requires="a14">
      <xdr:twoCellAnchor editAs="absolute">
        <xdr:from>
          <xdr:col>1</xdr:col>
          <xdr:colOff>25400</xdr:colOff>
          <xdr:row>27</xdr:row>
          <xdr:rowOff>165100</xdr:rowOff>
        </xdr:from>
        <xdr:to>
          <xdr:col>4</xdr:col>
          <xdr:colOff>241300</xdr:colOff>
          <xdr:row>29</xdr:row>
          <xdr:rowOff>25400</xdr:rowOff>
        </xdr:to>
        <xdr:sp macro="" textlink="">
          <xdr:nvSpPr>
            <xdr:cNvPr id="6161" name="Drop Down 17" hidden="1">
              <a:extLst>
                <a:ext uri="{63B3BB69-23CF-44E3-9099-C40C66FF867C}">
                  <a14:compatExt spid="_x0000_s616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25400</xdr:colOff>
          <xdr:row>20</xdr:row>
          <xdr:rowOff>165100</xdr:rowOff>
        </xdr:from>
        <xdr:to>
          <xdr:col>14</xdr:col>
          <xdr:colOff>241300</xdr:colOff>
          <xdr:row>23</xdr:row>
          <xdr:rowOff>0</xdr:rowOff>
        </xdr:to>
        <xdr:sp macro="" textlink="">
          <xdr:nvSpPr>
            <xdr:cNvPr id="6168" name="Drop Down 24" hidden="1">
              <a:extLst>
                <a:ext uri="{63B3BB69-23CF-44E3-9099-C40C66FF867C}">
                  <a14:compatExt spid="_x0000_s6168"/>
                </a:ext>
              </a:extLst>
            </xdr:cNvPr>
            <xdr:cNvSpPr/>
          </xdr:nvSpPr>
          <xdr:spPr>
            <a:xfrm>
              <a:off x="0" y="0"/>
              <a:ext cx="0" cy="0"/>
            </a:xfrm>
            <a:prstGeom prst="rect">
              <a:avLst/>
            </a:prstGeom>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1022334" y="321736"/>
    <xdr:ext cx="5852595" cy="8729132"/>
    <xdr:pic>
      <xdr:nvPicPr>
        <xdr:cNvPr id="2" name="No Table Floor Plan _ Working.png" descr="/Users/skylight/Dropbox/Graphic Design/Building Drawings/Blueprints - Blank:Modified/No Table Floor Plan _ Working.png"/>
        <xdr:cNvPicPr>
          <a:picLocks noChangeAspect="1"/>
        </xdr:cNvPicPr>
      </xdr:nvPicPr>
      <xdr:blipFill>
        <a:blip xmlns:r="http://schemas.openxmlformats.org/officeDocument/2006/relationships" r:embed="rId1" r:link="rId2">
          <a:alphaModFix/>
          <a:extLst>
            <a:ext uri="{28A0092B-C50C-407E-A947-70E740481C1C}">
              <a14:useLocalDpi xmlns:a14="http://schemas.microsoft.com/office/drawing/2010/main" val="0"/>
            </a:ext>
          </a:extLst>
        </a:blip>
        <a:stretch>
          <a:fillRect/>
        </a:stretch>
      </xdr:blipFill>
      <xdr:spPr>
        <a:xfrm rot="5400000">
          <a:off x="-415934" y="1760004"/>
          <a:ext cx="8729132" cy="5852595"/>
        </a:xfrm>
        <a:prstGeom prst="rect">
          <a:avLst/>
        </a:prstGeom>
      </xdr:spPr>
    </xdr:pic>
    <xdr:clientData/>
  </xdr:absoluteAnchor>
  <xdr:twoCellAnchor editAs="oneCell">
    <xdr:from>
      <xdr:col>1</xdr:col>
      <xdr:colOff>8465</xdr:colOff>
      <xdr:row>1</xdr:row>
      <xdr:rowOff>8465</xdr:rowOff>
    </xdr:from>
    <xdr:to>
      <xdr:col>4</xdr:col>
      <xdr:colOff>241156</xdr:colOff>
      <xdr:row>3</xdr:row>
      <xdr:rowOff>186267</xdr:rowOff>
    </xdr:to>
    <xdr:pic>
      <xdr:nvPicPr>
        <xdr:cNvPr id="3" name="Picture 2" descr="Logo with Location.pdf"/>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865" y="33865"/>
          <a:ext cx="969291" cy="651935"/>
        </a:xfrm>
        <a:prstGeom prst="rect">
          <a:avLst/>
        </a:prstGeom>
      </xdr:spPr>
    </xdr:pic>
    <xdr:clientData/>
  </xdr:twoCellAnchor>
  <xdr:absoluteAnchor>
    <xdr:pos x="2895599" y="685802"/>
    <xdr:ext cx="1295399" cy="812798"/>
    <xdr:sp macro="" textlink="">
      <xdr:nvSpPr>
        <xdr:cNvPr id="6" name="TextBox 5"/>
        <xdr:cNvSpPr txBox="1"/>
      </xdr:nvSpPr>
      <xdr:spPr>
        <a:xfrm>
          <a:off x="2895599" y="685802"/>
          <a:ext cx="1295399" cy="812798"/>
        </a:xfrm>
        <a:prstGeom prst="rect">
          <a:avLst/>
        </a:prstGeom>
        <a:solidFill>
          <a:schemeClr val="lt1"/>
        </a:solidFill>
        <a:ln w="3175" cmpd="sng">
          <a:solidFill>
            <a:srgbClr val="00600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u="none">
              <a:latin typeface="Wingdings"/>
              <a:ea typeface="Wingdings"/>
              <a:cs typeface="Wingdings"/>
            </a:rPr>
            <a:t></a:t>
          </a:r>
          <a:r>
            <a:rPr lang="en-US" sz="1000" b="1" u="none">
              <a:latin typeface="Gill Sans"/>
              <a:cs typeface="Gill Sans"/>
            </a:rPr>
            <a:t> </a:t>
          </a:r>
          <a:r>
            <a:rPr lang="en-US" sz="1200" b="1" u="sng">
              <a:latin typeface="Calibri"/>
              <a:cs typeface="Calibri"/>
            </a:rPr>
            <a:t>VP</a:t>
          </a:r>
        </a:p>
        <a:p>
          <a:pPr algn="ctr"/>
          <a:r>
            <a:rPr lang="en-US" sz="1000" baseline="0">
              <a:latin typeface="Calibri"/>
              <a:cs typeface="Calibri"/>
            </a:rPr>
            <a:t>Valet Parking</a:t>
          </a:r>
        </a:p>
        <a:p>
          <a:pPr algn="ctr"/>
          <a:r>
            <a:rPr lang="en-US" sz="1000" u="sng" baseline="0">
              <a:latin typeface="Calibri"/>
              <a:cs typeface="Calibri"/>
            </a:rPr>
            <a:t>1139 Glendon Ave</a:t>
          </a:r>
        </a:p>
        <a:p>
          <a:pPr algn="ctr"/>
          <a:r>
            <a:rPr lang="en-US" sz="800">
              <a:latin typeface="Calibri"/>
              <a:cs typeface="Calibri"/>
            </a:rPr>
            <a:t>valet</a:t>
          </a:r>
          <a:r>
            <a:rPr lang="en-US" sz="800" baseline="0">
              <a:latin typeface="Calibri"/>
              <a:cs typeface="Calibri"/>
            </a:rPr>
            <a:t> </a:t>
          </a:r>
          <a:r>
            <a:rPr lang="en-US" sz="800">
              <a:latin typeface="Calibri"/>
              <a:cs typeface="Calibri"/>
            </a:rPr>
            <a:t>available restaurant main entrance</a:t>
          </a:r>
        </a:p>
      </xdr:txBody>
    </xdr:sp>
    <xdr:clientData/>
  </xdr:absoluteAnchor>
  <xdr:absoluteAnchor>
    <xdr:pos x="6417725" y="4995345"/>
    <xdr:ext cx="266675" cy="1295390"/>
    <xdr:sp macro="" textlink="">
      <xdr:nvSpPr>
        <xdr:cNvPr id="7" name="TextBox 6"/>
        <xdr:cNvSpPr txBox="1"/>
      </xdr:nvSpPr>
      <xdr:spPr>
        <a:xfrm rot="5400000">
          <a:off x="5903368" y="5509702"/>
          <a:ext cx="1295390" cy="266675"/>
        </a:xfrm>
        <a:prstGeom prst="rect">
          <a:avLst/>
        </a:prstGeom>
        <a:solidFill>
          <a:srgbClr val="F2F2F2"/>
        </a:solidFill>
        <a:ln w="9525" cmpd="sng">
          <a:solidFill>
            <a:srgbClr val="009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latin typeface="Wingdings"/>
              <a:ea typeface="Wingdings"/>
              <a:cs typeface="Wingdings"/>
            </a:rPr>
            <a:t></a:t>
          </a:r>
          <a:r>
            <a:rPr lang="en-US" sz="1000">
              <a:latin typeface="Gill Sans"/>
              <a:ea typeface="Wingdings"/>
              <a:cs typeface="Gill Sans"/>
            </a:rPr>
            <a:t> </a:t>
          </a:r>
          <a:r>
            <a:rPr lang="en-US" sz="1000">
              <a:latin typeface="Calibri"/>
              <a:ea typeface="Wingdings"/>
              <a:cs typeface="Calibri"/>
            </a:rPr>
            <a:t>Lindbrook</a:t>
          </a:r>
          <a:r>
            <a:rPr lang="en-US" sz="1000" baseline="0">
              <a:latin typeface="Calibri"/>
              <a:ea typeface="Wingdings"/>
              <a:cs typeface="Calibri"/>
            </a:rPr>
            <a:t> Dr. </a:t>
          </a:r>
          <a:r>
            <a:rPr lang="en-US" sz="1000">
              <a:latin typeface="Wingdings"/>
              <a:ea typeface="Wingdings"/>
              <a:cs typeface="Wingdings"/>
            </a:rPr>
            <a:t></a:t>
          </a:r>
          <a:endParaRPr lang="en-US" sz="1000"/>
        </a:p>
      </xdr:txBody>
    </xdr:sp>
    <xdr:clientData/>
  </xdr:absoluteAnchor>
  <xdr:absoluteAnchor>
    <xdr:pos x="1473202" y="685803"/>
    <xdr:ext cx="1363132" cy="804330"/>
    <xdr:sp macro="" textlink="">
      <xdr:nvSpPr>
        <xdr:cNvPr id="8" name="TextBox 7"/>
        <xdr:cNvSpPr txBox="1"/>
      </xdr:nvSpPr>
      <xdr:spPr>
        <a:xfrm>
          <a:off x="1473202" y="685803"/>
          <a:ext cx="1363132" cy="804330"/>
        </a:xfrm>
        <a:prstGeom prst="rect">
          <a:avLst/>
        </a:prstGeom>
        <a:solidFill>
          <a:schemeClr val="lt1"/>
        </a:solidFill>
        <a:ln w="3175" cmpd="sng">
          <a:solidFill>
            <a:srgbClr val="00600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u="none">
              <a:latin typeface="Wingdings"/>
              <a:ea typeface="Wingdings"/>
              <a:cs typeface="Wingdings"/>
            </a:rPr>
            <a:t></a:t>
          </a:r>
          <a:r>
            <a:rPr lang="en-US" sz="1000" b="1" u="none">
              <a:latin typeface="Gill Sans"/>
              <a:ea typeface="+mn-ea"/>
              <a:cs typeface="Gill Sans"/>
            </a:rPr>
            <a:t> </a:t>
          </a:r>
          <a:r>
            <a:rPr lang="en-US" sz="1200" b="1" u="sng">
              <a:latin typeface="Calibri"/>
              <a:ea typeface="+mn-ea"/>
              <a:cs typeface="Calibri"/>
            </a:rPr>
            <a:t>SP</a:t>
          </a:r>
          <a:endParaRPr lang="en-US" sz="1200" b="1" u="sng">
            <a:latin typeface="Calibri"/>
            <a:cs typeface="Calibri"/>
          </a:endParaRPr>
        </a:p>
        <a:p>
          <a:pPr algn="ctr"/>
          <a:r>
            <a:rPr lang="en-US" sz="1000" baseline="0">
              <a:latin typeface="Calibri"/>
              <a:cs typeface="Calibri"/>
            </a:rPr>
            <a:t>Free Self Parking</a:t>
          </a:r>
        </a:p>
        <a:p>
          <a:pPr algn="ctr"/>
          <a:r>
            <a:rPr lang="en-US" sz="1000" u="sng" baseline="0">
              <a:latin typeface="Calibri"/>
              <a:cs typeface="Calibri"/>
            </a:rPr>
            <a:t>1100 Glendon Ave</a:t>
          </a:r>
        </a:p>
        <a:p>
          <a:pPr algn="ctr"/>
          <a:r>
            <a:rPr lang="en-US" sz="800" baseline="0">
              <a:latin typeface="Calibri"/>
              <a:cs typeface="Calibri"/>
            </a:rPr>
            <a:t>parking garage directly across from main entrance</a:t>
          </a:r>
          <a:endParaRPr lang="en-US" sz="800">
            <a:latin typeface="Calibri"/>
            <a:cs typeface="Calibri"/>
          </a:endParaRPr>
        </a:p>
      </xdr:txBody>
    </xdr:sp>
    <xdr:clientData/>
  </xdr:absoluteAnchor>
  <xdr:twoCellAnchor>
    <xdr:from>
      <xdr:col>10</xdr:col>
      <xdr:colOff>9524</xdr:colOff>
      <xdr:row>14</xdr:row>
      <xdr:rowOff>186266</xdr:rowOff>
    </xdr:from>
    <xdr:to>
      <xdr:col>13</xdr:col>
      <xdr:colOff>237064</xdr:colOff>
      <xdr:row>17</xdr:row>
      <xdr:rowOff>27517</xdr:rowOff>
    </xdr:to>
    <xdr:cxnSp macro="">
      <xdr:nvCxnSpPr>
        <xdr:cNvPr id="9" name="Straight Arrow Connector 8"/>
        <xdr:cNvCxnSpPr/>
      </xdr:nvCxnSpPr>
      <xdr:spPr>
        <a:xfrm rot="21540000" flipV="1">
          <a:off x="2134657" y="2777066"/>
          <a:ext cx="938740" cy="425451"/>
        </a:xfrm>
        <a:prstGeom prst="straightConnector1">
          <a:avLst/>
        </a:prstGeom>
        <a:ln w="19050">
          <a:solidFill>
            <a:schemeClr val="tx1"/>
          </a:solidFill>
          <a:headEnd type="arrow"/>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242358</xdr:colOff>
      <xdr:row>14</xdr:row>
      <xdr:rowOff>249768</xdr:rowOff>
    </xdr:from>
    <xdr:to>
      <xdr:col>13</xdr:col>
      <xdr:colOff>10585</xdr:colOff>
      <xdr:row>16</xdr:row>
      <xdr:rowOff>213784</xdr:rowOff>
    </xdr:to>
    <xdr:sp macro="" textlink="">
      <xdr:nvSpPr>
        <xdr:cNvPr id="10" name="TextBox 9"/>
        <xdr:cNvSpPr txBox="1"/>
      </xdr:nvSpPr>
      <xdr:spPr>
        <a:xfrm rot="20155560">
          <a:off x="2367491" y="2840568"/>
          <a:ext cx="479427" cy="2772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10.5'</a:t>
          </a:r>
        </a:p>
      </xdr:txBody>
    </xdr:sp>
    <xdr:clientData/>
  </xdr:twoCellAnchor>
  <xdr:absoluteAnchor>
    <xdr:pos x="1871133" y="7871885"/>
    <xdr:ext cx="2032000" cy="924983"/>
    <xdr:sp macro="" textlink="">
      <xdr:nvSpPr>
        <xdr:cNvPr id="11" name="TextBox 10"/>
        <xdr:cNvSpPr txBox="1"/>
      </xdr:nvSpPr>
      <xdr:spPr>
        <a:xfrm>
          <a:off x="1871133" y="7871885"/>
          <a:ext cx="2032000" cy="92498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1" i="1" u="none" baseline="0">
              <a:solidFill>
                <a:schemeClr val="tx1"/>
              </a:solidFill>
              <a:latin typeface="Calibri"/>
              <a:cs typeface="Calibri"/>
            </a:rPr>
            <a:t>                      Floor Plan Scale:</a:t>
          </a:r>
        </a:p>
        <a:p>
          <a:pPr algn="l"/>
          <a:r>
            <a:rPr lang="en-US" sz="800" i="1" baseline="0">
              <a:solidFill>
                <a:srgbClr val="000000"/>
              </a:solidFill>
              <a:latin typeface="Calibri"/>
              <a:cs typeface="Calibri"/>
            </a:rPr>
            <a:t>1" = 9.75'</a:t>
          </a:r>
        </a:p>
        <a:p>
          <a:pPr algn="l"/>
          <a:endParaRPr lang="en-US" sz="400" i="1" baseline="0">
            <a:solidFill>
              <a:srgbClr val="000000"/>
            </a:solidFill>
            <a:latin typeface="Calibri"/>
            <a:cs typeface="Calibri"/>
          </a:endParaRPr>
        </a:p>
        <a:p>
          <a:pPr algn="l"/>
          <a:r>
            <a:rPr lang="en-US" sz="800" i="1" baseline="0">
              <a:solidFill>
                <a:srgbClr val="000000"/>
              </a:solidFill>
              <a:latin typeface="Calibri"/>
              <a:cs typeface="Calibri"/>
            </a:rPr>
            <a:t>.5" = 4.9'</a:t>
          </a:r>
        </a:p>
        <a:p>
          <a:pPr algn="l"/>
          <a:r>
            <a:rPr lang="en-US" sz="400" i="1" baseline="0">
              <a:solidFill>
                <a:srgbClr val="000000"/>
              </a:solidFill>
              <a:latin typeface="Calibri"/>
              <a:cs typeface="Calibri"/>
            </a:rPr>
            <a:t> </a:t>
          </a:r>
        </a:p>
        <a:p>
          <a:pPr algn="l"/>
          <a:r>
            <a:rPr lang="en-US" sz="800" i="1" baseline="0">
              <a:solidFill>
                <a:srgbClr val="000000"/>
              </a:solidFill>
              <a:latin typeface="Calibri"/>
              <a:cs typeface="Calibri"/>
            </a:rPr>
            <a:t>.25" = 2.5'</a:t>
          </a:r>
        </a:p>
        <a:p>
          <a:pPr algn="l"/>
          <a:endParaRPr lang="en-US" sz="400" i="1" baseline="0">
            <a:solidFill>
              <a:srgbClr val="000000"/>
            </a:solidFill>
            <a:latin typeface="Calibri"/>
            <a:cs typeface="Calibri"/>
          </a:endParaRPr>
        </a:p>
        <a:p>
          <a:pPr algn="l"/>
          <a:r>
            <a:rPr lang="en-US" sz="800" i="1" baseline="0">
              <a:solidFill>
                <a:srgbClr val="000000"/>
              </a:solidFill>
              <a:latin typeface="Calibri"/>
              <a:cs typeface="Calibri"/>
            </a:rPr>
            <a:t>.125" = 1.25'</a:t>
          </a:r>
        </a:p>
      </xdr:txBody>
    </xdr:sp>
    <xdr:clientData/>
  </xdr:absoluteAnchor>
  <xdr:absoluteAnchor>
    <xdr:pos x="3479798" y="8504760"/>
    <xdr:ext cx="182033" cy="182033"/>
    <xdr:sp macro="" textlink="">
      <xdr:nvSpPr>
        <xdr:cNvPr id="16" name="Rectangle 15"/>
        <xdr:cNvSpPr/>
      </xdr:nvSpPr>
      <xdr:spPr>
        <a:xfrm>
          <a:off x="3479798" y="8504760"/>
          <a:ext cx="182033" cy="182033"/>
        </a:xfrm>
        <a:prstGeom prst="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nchorCtr="0"/>
        <a:lstStyle/>
        <a:p>
          <a:pPr algn="ctr"/>
          <a:r>
            <a:rPr lang="en-US" sz="600">
              <a:latin typeface="Calibri"/>
              <a:cs typeface="Calibri"/>
            </a:rPr>
            <a:t>24"</a:t>
          </a:r>
        </a:p>
      </xdr:txBody>
    </xdr:sp>
    <xdr:clientData/>
  </xdr:absoluteAnchor>
  <xdr:absoluteAnchor>
    <xdr:pos x="2904064" y="8358709"/>
    <xdr:ext cx="283633" cy="283633"/>
    <xdr:sp macro="" textlink="">
      <xdr:nvSpPr>
        <xdr:cNvPr id="17" name="Rectangle 16"/>
        <xdr:cNvSpPr/>
      </xdr:nvSpPr>
      <xdr:spPr>
        <a:xfrm>
          <a:off x="2904064" y="8358709"/>
          <a:ext cx="283633" cy="283633"/>
        </a:xfrm>
        <a:prstGeom prst="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lstStyle/>
        <a:p>
          <a:pPr algn="ctr"/>
          <a:r>
            <a:rPr lang="en-US" sz="600" b="1">
              <a:latin typeface="Calibri"/>
              <a:cs typeface="Calibri"/>
            </a:rPr>
            <a:t>36"</a:t>
          </a:r>
        </a:p>
      </xdr:txBody>
    </xdr:sp>
    <xdr:clientData/>
  </xdr:absoluteAnchor>
  <xdr:absoluteAnchor>
    <xdr:pos x="3296713" y="7973478"/>
    <xdr:ext cx="396331" cy="406399"/>
    <xdr:sp macro="" textlink="">
      <xdr:nvSpPr>
        <xdr:cNvPr id="18" name="Connector 17"/>
        <xdr:cNvSpPr/>
      </xdr:nvSpPr>
      <xdr:spPr>
        <a:xfrm>
          <a:off x="3296713" y="7973478"/>
          <a:ext cx="396331" cy="406399"/>
        </a:xfrm>
        <a:prstGeom prst="flowChartConnector">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nchorCtr="0"/>
        <a:lstStyle/>
        <a:p>
          <a:pPr algn="ctr"/>
          <a:r>
            <a:rPr lang="en-US" sz="600" b="1">
              <a:latin typeface="Calibri"/>
              <a:cs typeface="Calibri"/>
            </a:rPr>
            <a:t>50"</a:t>
          </a:r>
        </a:p>
      </xdr:txBody>
    </xdr:sp>
    <xdr:clientData/>
  </xdr:absoluteAnchor>
  <xdr:absoluteAnchor>
    <xdr:pos x="2480734" y="5080001"/>
    <xdr:ext cx="863600" cy="541866"/>
    <xdr:sp macro="" textlink="">
      <xdr:nvSpPr>
        <xdr:cNvPr id="22" name="TextBox 21"/>
        <xdr:cNvSpPr txBox="1"/>
      </xdr:nvSpPr>
      <xdr:spPr>
        <a:xfrm>
          <a:off x="2480734" y="5080001"/>
          <a:ext cx="863600" cy="541866"/>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b="1">
              <a:latin typeface="Calibri"/>
              <a:cs typeface="Calibri"/>
            </a:rPr>
            <a:t>Atrium</a:t>
          </a:r>
        </a:p>
        <a:p>
          <a:pPr algn="ctr"/>
          <a:r>
            <a:rPr lang="en-US" sz="800" b="0" i="1">
              <a:latin typeface="Calibri"/>
              <a:cs typeface="Calibri"/>
            </a:rPr>
            <a:t>(ground floor)</a:t>
          </a:r>
        </a:p>
        <a:p>
          <a:pPr algn="ctr"/>
          <a:r>
            <a:rPr lang="en-US" sz="800" b="0">
              <a:latin typeface="Calibri"/>
              <a:cs typeface="Calibri"/>
            </a:rPr>
            <a:t>seated - 70</a:t>
          </a:r>
        </a:p>
        <a:p>
          <a:pPr algn="ctr"/>
          <a:r>
            <a:rPr lang="en-US" sz="800" b="0">
              <a:latin typeface="Calibri"/>
              <a:cs typeface="Calibri"/>
            </a:rPr>
            <a:t>reception - 170</a:t>
          </a:r>
        </a:p>
      </xdr:txBody>
    </xdr:sp>
    <xdr:clientData/>
  </xdr:absoluteAnchor>
  <xdr:absoluteAnchor>
    <xdr:pos x="5156202" y="7264400"/>
    <xdr:ext cx="812800" cy="474133"/>
    <xdr:sp macro="" textlink="">
      <xdr:nvSpPr>
        <xdr:cNvPr id="23" name="TextBox 22"/>
        <xdr:cNvSpPr txBox="1"/>
      </xdr:nvSpPr>
      <xdr:spPr>
        <a:xfrm>
          <a:off x="5156202" y="7264400"/>
          <a:ext cx="812800" cy="474133"/>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b="1">
              <a:latin typeface="Calibri"/>
              <a:cs typeface="Calibri"/>
            </a:rPr>
            <a:t>Studio</a:t>
          </a:r>
        </a:p>
        <a:p>
          <a:pPr algn="ctr"/>
          <a:r>
            <a:rPr lang="en-US" sz="800" b="0">
              <a:latin typeface="Calibri"/>
              <a:cs typeface="Calibri"/>
            </a:rPr>
            <a:t>seated - 60</a:t>
          </a:r>
        </a:p>
        <a:p>
          <a:pPr algn="ctr"/>
          <a:r>
            <a:rPr lang="en-US" sz="800" b="0">
              <a:latin typeface="Calibri"/>
              <a:cs typeface="Calibri"/>
            </a:rPr>
            <a:t>reception - 100</a:t>
          </a:r>
          <a:endParaRPr lang="en-US" sz="800" b="1">
            <a:latin typeface="Calibri"/>
            <a:cs typeface="Calibri"/>
          </a:endParaRPr>
        </a:p>
      </xdr:txBody>
    </xdr:sp>
    <xdr:clientData/>
  </xdr:absoluteAnchor>
  <xdr:absoluteAnchor>
    <xdr:pos x="5494864" y="1096435"/>
    <xdr:ext cx="795867" cy="465666"/>
    <xdr:sp macro="" textlink="">
      <xdr:nvSpPr>
        <xdr:cNvPr id="24" name="TextBox 23"/>
        <xdr:cNvSpPr txBox="1"/>
      </xdr:nvSpPr>
      <xdr:spPr>
        <a:xfrm>
          <a:off x="5494864" y="1096435"/>
          <a:ext cx="795867" cy="465666"/>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50" b="1" u="none">
              <a:latin typeface="Calibri"/>
              <a:cs typeface="Calibri"/>
            </a:rPr>
            <a:t>Rotunda</a:t>
          </a:r>
        </a:p>
        <a:p>
          <a:pPr algn="ctr"/>
          <a:r>
            <a:rPr lang="en-US" sz="850" b="0" i="0">
              <a:latin typeface="Calibri"/>
              <a:cs typeface="Calibri"/>
            </a:rPr>
            <a:t>seated</a:t>
          </a:r>
          <a:r>
            <a:rPr lang="en-US" sz="850" b="0" i="0" baseline="0">
              <a:latin typeface="Calibri"/>
              <a:cs typeface="Calibri"/>
            </a:rPr>
            <a:t> - 27</a:t>
          </a:r>
        </a:p>
        <a:p>
          <a:pPr algn="ctr"/>
          <a:r>
            <a:rPr lang="en-US" sz="850" b="0" i="0" baseline="0">
              <a:latin typeface="Calibri"/>
              <a:cs typeface="Calibri"/>
            </a:rPr>
            <a:t>reception - 40</a:t>
          </a:r>
          <a:endParaRPr lang="en-US" sz="850" b="0" i="0">
            <a:latin typeface="Calibri"/>
            <a:cs typeface="Calibri"/>
          </a:endParaRPr>
        </a:p>
      </xdr:txBody>
    </xdr:sp>
    <xdr:clientData/>
  </xdr:absoluteAnchor>
  <xdr:absoluteAnchor>
    <xdr:pos x="4114802" y="2785534"/>
    <xdr:ext cx="702733" cy="270933"/>
    <xdr:sp macro="" textlink="">
      <xdr:nvSpPr>
        <xdr:cNvPr id="25" name="TextBox 24"/>
        <xdr:cNvSpPr txBox="1"/>
      </xdr:nvSpPr>
      <xdr:spPr>
        <a:xfrm>
          <a:off x="4114802" y="2785534"/>
          <a:ext cx="702733" cy="270933"/>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b="1">
              <a:latin typeface="Calibri"/>
              <a:cs typeface="Calibri"/>
            </a:rPr>
            <a:t>Stone Bar</a:t>
          </a:r>
        </a:p>
        <a:p>
          <a:pPr algn="ctr"/>
          <a:r>
            <a:rPr lang="en-US" sz="800" b="0">
              <a:latin typeface="Calibri"/>
              <a:cs typeface="Calibri"/>
            </a:rPr>
            <a:t>seated - 20</a:t>
          </a:r>
        </a:p>
      </xdr:txBody>
    </xdr:sp>
    <xdr:clientData/>
  </xdr:absoluteAnchor>
  <xdr:absoluteAnchor>
    <xdr:pos x="5477932" y="2865965"/>
    <xdr:ext cx="795867" cy="419101"/>
    <xdr:sp macro="" textlink="">
      <xdr:nvSpPr>
        <xdr:cNvPr id="26" name="TextBox 25"/>
        <xdr:cNvSpPr txBox="1"/>
      </xdr:nvSpPr>
      <xdr:spPr>
        <a:xfrm>
          <a:off x="5477932" y="2865965"/>
          <a:ext cx="795867" cy="419101"/>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50" b="1">
              <a:latin typeface="Calibri"/>
              <a:cs typeface="Calibri"/>
            </a:rPr>
            <a:t>Bar Area</a:t>
          </a:r>
        </a:p>
        <a:p>
          <a:pPr algn="ctr"/>
          <a:r>
            <a:rPr lang="en-US" sz="850" b="0">
              <a:latin typeface="Calibri"/>
              <a:cs typeface="Calibri"/>
            </a:rPr>
            <a:t>seated - 40</a:t>
          </a:r>
        </a:p>
        <a:p>
          <a:pPr algn="ctr"/>
          <a:r>
            <a:rPr lang="en-US" sz="850" b="0">
              <a:latin typeface="Calibri"/>
              <a:cs typeface="Calibri"/>
            </a:rPr>
            <a:t>reception - 95</a:t>
          </a:r>
        </a:p>
      </xdr:txBody>
    </xdr:sp>
    <xdr:clientData/>
  </xdr:absoluteAnchor>
  <xdr:absoluteAnchor>
    <xdr:pos x="2480733" y="5672671"/>
    <xdr:ext cx="863601" cy="541862"/>
    <xdr:sp macro="" textlink="">
      <xdr:nvSpPr>
        <xdr:cNvPr id="27" name="TextBox 26"/>
        <xdr:cNvSpPr txBox="1"/>
      </xdr:nvSpPr>
      <xdr:spPr>
        <a:xfrm>
          <a:off x="2480733" y="5672671"/>
          <a:ext cx="863601" cy="541862"/>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1">
              <a:latin typeface="Calibri"/>
              <a:cs typeface="Calibri"/>
            </a:rPr>
            <a:t>Balcony</a:t>
          </a:r>
        </a:p>
        <a:p>
          <a:pPr algn="ctr"/>
          <a:r>
            <a:rPr lang="en-US" sz="800" b="0" i="1">
              <a:latin typeface="Calibri"/>
              <a:cs typeface="Calibri"/>
            </a:rPr>
            <a:t>(second </a:t>
          </a:r>
          <a:r>
            <a:rPr lang="en-US" sz="800" b="0" i="1" baseline="0">
              <a:latin typeface="Calibri"/>
              <a:cs typeface="Calibri"/>
            </a:rPr>
            <a:t>floor)</a:t>
          </a:r>
        </a:p>
        <a:p>
          <a:pPr algn="ctr"/>
          <a:r>
            <a:rPr lang="en-US" sz="800" b="0">
              <a:latin typeface="Calibri"/>
              <a:cs typeface="Calibri"/>
            </a:rPr>
            <a:t>seated - 27</a:t>
          </a:r>
        </a:p>
        <a:p>
          <a:pPr algn="ctr"/>
          <a:r>
            <a:rPr lang="en-US" sz="800" b="0">
              <a:latin typeface="Calibri"/>
              <a:cs typeface="Calibri"/>
            </a:rPr>
            <a:t>reception - 60</a:t>
          </a:r>
        </a:p>
      </xdr:txBody>
    </xdr:sp>
    <xdr:clientData/>
  </xdr:absoluteAnchor>
  <xdr:twoCellAnchor editAs="oneCell">
    <xdr:from>
      <xdr:col>12</xdr:col>
      <xdr:colOff>294215</xdr:colOff>
      <xdr:row>11</xdr:row>
      <xdr:rowOff>148877</xdr:rowOff>
    </xdr:from>
    <xdr:to>
      <xdr:col>13</xdr:col>
      <xdr:colOff>265993</xdr:colOff>
      <xdr:row>12</xdr:row>
      <xdr:rowOff>147467</xdr:rowOff>
    </xdr:to>
    <xdr:pic>
      <xdr:nvPicPr>
        <xdr:cNvPr id="28" name="tv.png" descr="/Users/skylight/Dropbox/Graphic Design/Graphics/tv.png"/>
        <xdr:cNvPicPr>
          <a:picLocks noChangeAspect="1"/>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2791882" y="1926877"/>
          <a:ext cx="276578" cy="269523"/>
        </a:xfrm>
        <a:prstGeom prst="rect">
          <a:avLst/>
        </a:prstGeom>
        <a:effectLst>
          <a:outerShdw blurRad="50800" dist="38100" dir="2700000" algn="tl" rotWithShape="0">
            <a:schemeClr val="accent2">
              <a:alpha val="43000"/>
            </a:schemeClr>
          </a:outerShdw>
        </a:effectLst>
      </xdr:spPr>
    </xdr:pic>
    <xdr:clientData/>
  </xdr:twoCellAnchor>
  <xdr:absoluteAnchor>
    <xdr:pos x="1921933" y="6991347"/>
    <xdr:ext cx="1879603" cy="467787"/>
    <xdr:sp macro="" textlink="">
      <xdr:nvSpPr>
        <xdr:cNvPr id="33" name="TextBox 32"/>
        <xdr:cNvSpPr txBox="1"/>
      </xdr:nvSpPr>
      <xdr:spPr>
        <a:xfrm>
          <a:off x="1921933" y="6991347"/>
          <a:ext cx="1879603" cy="467787"/>
        </a:xfrm>
        <a:prstGeom prst="rect">
          <a:avLst/>
        </a:prstGeom>
        <a:solidFill>
          <a:schemeClr val="bg1">
            <a:lumMod val="95000"/>
          </a:schemeClr>
        </a:solidFill>
        <a:ln w="127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b="0">
              <a:solidFill>
                <a:srgbClr val="000000"/>
              </a:solidFill>
              <a:latin typeface="Wingdings"/>
              <a:ea typeface="Wingdings"/>
              <a:cs typeface="Wingdings"/>
            </a:rPr>
            <a:t></a:t>
          </a:r>
          <a:r>
            <a:rPr lang="en-US" sz="800" b="0">
              <a:solidFill>
                <a:srgbClr val="000000"/>
              </a:solidFill>
              <a:latin typeface="Gill Sans"/>
              <a:cs typeface="Gill Sans"/>
            </a:rPr>
            <a:t> </a:t>
          </a:r>
          <a:r>
            <a:rPr lang="en-US" sz="800" b="1">
              <a:solidFill>
                <a:srgbClr val="000000"/>
              </a:solidFill>
              <a:latin typeface="Calibri"/>
              <a:cs typeface="Calibri"/>
            </a:rPr>
            <a:t>Atrium A/V: </a:t>
          </a:r>
          <a:r>
            <a:rPr lang="en-US" sz="800" b="0">
              <a:solidFill>
                <a:srgbClr val="000000"/>
              </a:solidFill>
              <a:latin typeface="Calibri"/>
              <a:cs typeface="Calibri"/>
            </a:rPr>
            <a:t>ten 8” recessed celling speakers, audio mini jack, podium &amp; lectern, wireless microphone</a:t>
          </a:r>
        </a:p>
      </xdr:txBody>
    </xdr:sp>
    <xdr:clientData/>
  </xdr:absoluteAnchor>
  <xdr:absoluteAnchor>
    <xdr:pos x="4174067" y="5056722"/>
    <xdr:ext cx="2052463" cy="514353"/>
    <xdr:sp macro="" textlink="">
      <xdr:nvSpPr>
        <xdr:cNvPr id="34" name="TextBox 33"/>
        <xdr:cNvSpPr txBox="1"/>
      </xdr:nvSpPr>
      <xdr:spPr>
        <a:xfrm>
          <a:off x="4174067" y="5056722"/>
          <a:ext cx="2052463" cy="514353"/>
        </a:xfrm>
        <a:prstGeom prst="rect">
          <a:avLst/>
        </a:prstGeom>
        <a:solidFill>
          <a:schemeClr val="bg1">
            <a:lumMod val="95000"/>
          </a:schemeClr>
        </a:solidFill>
        <a:ln w="127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b="0">
              <a:solidFill>
                <a:srgbClr val="000000"/>
              </a:solidFill>
              <a:latin typeface="Wingdings"/>
              <a:ea typeface="Wingdings"/>
              <a:cs typeface="Wingdings"/>
            </a:rPr>
            <a:t></a:t>
          </a:r>
          <a:r>
            <a:rPr lang="en-US" sz="800" b="0">
              <a:solidFill>
                <a:srgbClr val="000000"/>
              </a:solidFill>
              <a:latin typeface="Calibri"/>
              <a:cs typeface="Calibri"/>
            </a:rPr>
            <a:t> </a:t>
          </a:r>
          <a:r>
            <a:rPr lang="en-US" sz="800" b="1">
              <a:solidFill>
                <a:srgbClr val="000000"/>
              </a:solidFill>
              <a:latin typeface="Calibri"/>
              <a:cs typeface="Calibri"/>
            </a:rPr>
            <a:t>Bar A/V: </a:t>
          </a:r>
          <a:r>
            <a:rPr lang="en-US" sz="800" b="0">
              <a:solidFill>
                <a:srgbClr val="000000"/>
              </a:solidFill>
              <a:latin typeface="Calibri"/>
              <a:cs typeface="Calibri"/>
            </a:rPr>
            <a:t>two 60” flat screen TVs, one 55" flat screen TV, five 16” powered speakers, HDMI, audio mini jack, blu ray player, podium &amp; lectern, wireless microphone</a:t>
          </a:r>
        </a:p>
      </xdr:txBody>
    </xdr:sp>
    <xdr:clientData/>
  </xdr:absoluteAnchor>
  <xdr:absoluteAnchor>
    <xdr:pos x="4174067" y="5739700"/>
    <xdr:ext cx="2052463" cy="508709"/>
    <xdr:sp macro="" textlink="">
      <xdr:nvSpPr>
        <xdr:cNvPr id="35" name="TextBox 34"/>
        <xdr:cNvSpPr txBox="1"/>
      </xdr:nvSpPr>
      <xdr:spPr>
        <a:xfrm>
          <a:off x="4174067" y="5739700"/>
          <a:ext cx="2052463" cy="508709"/>
        </a:xfrm>
        <a:prstGeom prst="rect">
          <a:avLst/>
        </a:prstGeom>
        <a:solidFill>
          <a:schemeClr val="bg1">
            <a:lumMod val="95000"/>
          </a:schemeClr>
        </a:solidFill>
        <a:ln w="127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b="0">
              <a:solidFill>
                <a:schemeClr val="tx1"/>
              </a:solidFill>
              <a:latin typeface="Wingdings"/>
              <a:ea typeface="Wingdings"/>
              <a:cs typeface="Wingdings"/>
            </a:rPr>
            <a:t></a:t>
          </a:r>
          <a:r>
            <a:rPr lang="en-US" sz="800" b="0">
              <a:solidFill>
                <a:schemeClr val="tx1"/>
              </a:solidFill>
              <a:latin typeface="Calibri"/>
              <a:cs typeface="Calibri"/>
            </a:rPr>
            <a:t> </a:t>
          </a:r>
          <a:r>
            <a:rPr lang="en-US" sz="800" b="1">
              <a:solidFill>
                <a:schemeClr val="tx1"/>
              </a:solidFill>
              <a:latin typeface="Calibri"/>
              <a:cs typeface="Calibri"/>
            </a:rPr>
            <a:t>Studio A/V: </a:t>
          </a:r>
          <a:r>
            <a:rPr lang="en-US" sz="800" b="0">
              <a:solidFill>
                <a:schemeClr val="tx1"/>
              </a:solidFill>
              <a:latin typeface="Calibri"/>
              <a:cs typeface="Calibri"/>
            </a:rPr>
            <a:t>one 60” flat screen TV, two 16” powered speakers, VGA, HDMI, audio mini jack, Blu-ray player, podium &amp; lectern, wireless microphone</a:t>
          </a:r>
        </a:p>
      </xdr:txBody>
    </xdr:sp>
    <xdr:clientData/>
  </xdr:absoluteAnchor>
  <xdr:absoluteAnchor>
    <xdr:pos x="4732868" y="4218516"/>
    <xdr:ext cx="1270000" cy="319621"/>
    <xdr:sp macro="" textlink="">
      <xdr:nvSpPr>
        <xdr:cNvPr id="36" name="TextBox 35"/>
        <xdr:cNvSpPr txBox="1"/>
      </xdr:nvSpPr>
      <xdr:spPr>
        <a:xfrm>
          <a:off x="4936068" y="4265083"/>
          <a:ext cx="1270000" cy="328087"/>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b="1">
              <a:latin typeface="Calibri"/>
              <a:cs typeface="Calibri"/>
            </a:rPr>
            <a:t>Whiskey &amp; Wine Bar</a:t>
          </a:r>
        </a:p>
        <a:p>
          <a:pPr algn="ctr"/>
          <a:r>
            <a:rPr lang="en-US" sz="800" b="0">
              <a:latin typeface="Calibri"/>
              <a:cs typeface="Calibri"/>
            </a:rPr>
            <a:t>reception - 95</a:t>
          </a:r>
        </a:p>
      </xdr:txBody>
    </xdr:sp>
    <xdr:clientData/>
  </xdr:absoluteAnchor>
  <xdr:absoluteAnchor>
    <xdr:pos x="1710266" y="1574798"/>
    <xdr:ext cx="397933" cy="397933"/>
    <xdr:pic>
      <xdr:nvPicPr>
        <xdr:cNvPr id="42" name="valet-parking-512.png" descr="/Users/clinks/Desktop/valet-parking-512.png"/>
        <xdr:cNvPicPr>
          <a:picLocks noChangeAspect="1"/>
        </xdr:cNvPicPr>
      </xdr:nvPicPr>
      <xdr:blipFill>
        <a:blip xmlns:r="http://schemas.openxmlformats.org/officeDocument/2006/relationships" r:embed="rId6" r:link="rId7">
          <a:biLevel thresh="75000"/>
          <a:extLst>
            <a:ext uri="{28A0092B-C50C-407E-A947-70E740481C1C}">
              <a14:useLocalDpi xmlns:a14="http://schemas.microsoft.com/office/drawing/2010/main" val="0"/>
            </a:ext>
          </a:extLst>
        </a:blip>
        <a:stretch>
          <a:fillRect/>
        </a:stretch>
      </xdr:blipFill>
      <xdr:spPr>
        <a:xfrm>
          <a:off x="1667933" y="1744132"/>
          <a:ext cx="397933" cy="397933"/>
        </a:xfrm>
        <a:prstGeom prst="rect">
          <a:avLst/>
        </a:prstGeom>
      </xdr:spPr>
    </xdr:pic>
    <xdr:clientData/>
  </xdr:absoluteAnchor>
  <xdr:twoCellAnchor>
    <xdr:from>
      <xdr:col>6</xdr:col>
      <xdr:colOff>16934</xdr:colOff>
      <xdr:row>2</xdr:row>
      <xdr:rowOff>152405</xdr:rowOff>
    </xdr:from>
    <xdr:to>
      <xdr:col>7</xdr:col>
      <xdr:colOff>135467</xdr:colOff>
      <xdr:row>6</xdr:row>
      <xdr:rowOff>84672</xdr:rowOff>
    </xdr:to>
    <xdr:sp macro="" textlink="">
      <xdr:nvSpPr>
        <xdr:cNvPr id="38" name="TextBox 37"/>
        <xdr:cNvSpPr txBox="1"/>
      </xdr:nvSpPr>
      <xdr:spPr>
        <a:xfrm>
          <a:off x="1126067" y="457205"/>
          <a:ext cx="423333" cy="37253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absoluteAnchor>
    <xdr:pos x="1066798" y="347132"/>
    <xdr:ext cx="457199" cy="457199"/>
    <xdr:pic>
      <xdr:nvPicPr>
        <xdr:cNvPr id="39" name="garage_multilevel-512.png" descr="/Users/clinks/Desktop/garage_multilevel-512.png"/>
        <xdr:cNvPicPr>
          <a:picLocks noChangeAspect="1"/>
        </xdr:cNvPicPr>
      </xdr:nvPicPr>
      <xdr:blipFill>
        <a:blip xmlns:r="http://schemas.openxmlformats.org/officeDocument/2006/relationships" r:embed="rId8" r:link="rId9">
          <a:biLevel thresh="75000"/>
          <a:extLst>
            <a:ext uri="{28A0092B-C50C-407E-A947-70E740481C1C}">
              <a14:useLocalDpi xmlns:a14="http://schemas.microsoft.com/office/drawing/2010/main" val="0"/>
            </a:ext>
          </a:extLst>
        </a:blip>
        <a:stretch>
          <a:fillRect/>
        </a:stretch>
      </xdr:blipFill>
      <xdr:spPr>
        <a:xfrm>
          <a:off x="1024465" y="347132"/>
          <a:ext cx="457199" cy="457199"/>
        </a:xfrm>
        <a:prstGeom prst="rect">
          <a:avLst/>
        </a:prstGeom>
      </xdr:spPr>
    </xdr:pic>
    <xdr:clientData/>
  </xdr:absoluteAnchor>
  <xdr:absoluteAnchor>
    <xdr:pos x="1430511" y="2077080"/>
    <xdr:ext cx="1385118" cy="254286"/>
    <xdr:sp macro="" textlink="">
      <xdr:nvSpPr>
        <xdr:cNvPr id="5" name="TextBox 4"/>
        <xdr:cNvSpPr txBox="1"/>
      </xdr:nvSpPr>
      <xdr:spPr>
        <a:xfrm rot="20081381">
          <a:off x="1430511" y="2077080"/>
          <a:ext cx="1385118" cy="254286"/>
        </a:xfrm>
        <a:prstGeom prst="rect">
          <a:avLst/>
        </a:prstGeom>
        <a:solidFill>
          <a:schemeClr val="bg1">
            <a:lumMod val="95000"/>
          </a:schemeClr>
        </a:solidFill>
        <a:ln w="9525" cmpd="sng">
          <a:solidFill>
            <a:srgbClr val="009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Wingdings"/>
              <a:ea typeface="Wingdings"/>
              <a:cs typeface="Wingdings"/>
            </a:rPr>
            <a:t></a:t>
          </a:r>
          <a:r>
            <a:rPr lang="en-US" sz="1000" b="0">
              <a:latin typeface="Gill Sans"/>
              <a:ea typeface="Wingdings"/>
              <a:cs typeface="Gill Sans"/>
            </a:rPr>
            <a:t> </a:t>
          </a:r>
          <a:r>
            <a:rPr lang="en-US" sz="1000" b="0">
              <a:latin typeface="Calibri"/>
              <a:ea typeface="Wingdings"/>
              <a:cs typeface="Calibri"/>
            </a:rPr>
            <a:t>Glendon</a:t>
          </a:r>
          <a:r>
            <a:rPr lang="en-US" sz="1000" b="0" baseline="0">
              <a:latin typeface="Calibri"/>
              <a:ea typeface="Wingdings"/>
              <a:cs typeface="Calibri"/>
            </a:rPr>
            <a:t> Ave </a:t>
          </a:r>
          <a:r>
            <a:rPr lang="en-US" sz="1000" b="0">
              <a:latin typeface="Wingdings"/>
              <a:ea typeface="Wingdings"/>
              <a:cs typeface="Wingdings"/>
            </a:rPr>
            <a:t></a:t>
          </a:r>
          <a:endParaRPr lang="en-US" sz="1000" b="0"/>
        </a:p>
      </xdr:txBody>
    </xdr:sp>
    <xdr:clientData/>
  </xdr:absoluteAnchor>
  <xdr:absoluteAnchor>
    <xdr:pos x="6231468" y="1780122"/>
    <xdr:ext cx="592669" cy="505872"/>
    <xdr:grpSp>
      <xdr:nvGrpSpPr>
        <xdr:cNvPr id="61" name="Group 60"/>
        <xdr:cNvGrpSpPr/>
      </xdr:nvGrpSpPr>
      <xdr:grpSpPr>
        <a:xfrm>
          <a:off x="6231468" y="1780122"/>
          <a:ext cx="592669" cy="505872"/>
          <a:chOff x="6231468" y="1780122"/>
          <a:chExt cx="592669" cy="505872"/>
        </a:xfrm>
      </xdr:grpSpPr>
      <xdr:pic>
        <xdr:nvPicPr>
          <xdr:cNvPr id="31" name="051352-glossy-black-icon-natural-wonders-fire3.png" descr="/Users/skylight/Dropbox/Graphic Design/Graphics/051352-glossy-black-icon-natural-wonders-fire3.png"/>
          <xdr:cNvPicPr>
            <a:picLocks noChangeAspect="1"/>
          </xdr:cNvPicPr>
        </xdr:nvPicPr>
        <xdr:blipFill>
          <a:blip xmlns:r="http://schemas.openxmlformats.org/officeDocument/2006/relationships" r:embed="rId10" r:link="rId11">
            <a:extLst>
              <a:ext uri="{28A0092B-C50C-407E-A947-70E740481C1C}">
                <a14:useLocalDpi xmlns:a14="http://schemas.microsoft.com/office/drawing/2010/main" val="0"/>
              </a:ext>
            </a:extLst>
          </a:blip>
          <a:stretch>
            <a:fillRect/>
          </a:stretch>
        </xdr:blipFill>
        <xdr:spPr>
          <a:xfrm>
            <a:off x="6273096" y="1780122"/>
            <a:ext cx="468489" cy="379589"/>
          </a:xfrm>
          <a:prstGeom prst="rect">
            <a:avLst/>
          </a:prstGeom>
        </xdr:spPr>
      </xdr:pic>
      <xdr:sp macro="" textlink="">
        <xdr:nvSpPr>
          <xdr:cNvPr id="44" name="TextBox 43"/>
          <xdr:cNvSpPr txBox="1"/>
        </xdr:nvSpPr>
        <xdr:spPr>
          <a:xfrm>
            <a:off x="6231468" y="2031994"/>
            <a:ext cx="592669"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Gill Sans"/>
                <a:cs typeface="Gill Sans"/>
              </a:rPr>
              <a:t>fireplace</a:t>
            </a:r>
          </a:p>
        </xdr:txBody>
      </xdr:sp>
    </xdr:grpSp>
    <xdr:clientData/>
  </xdr:absoluteAnchor>
  <xdr:twoCellAnchor>
    <xdr:from>
      <xdr:col>12</xdr:col>
      <xdr:colOff>304798</xdr:colOff>
      <xdr:row>11</xdr:row>
      <xdr:rowOff>190501</xdr:rowOff>
    </xdr:from>
    <xdr:to>
      <xdr:col>14</xdr:col>
      <xdr:colOff>67732</xdr:colOff>
      <xdr:row>13</xdr:row>
      <xdr:rowOff>169333</xdr:rowOff>
    </xdr:to>
    <xdr:sp macro="" textlink="">
      <xdr:nvSpPr>
        <xdr:cNvPr id="45" name="TextBox 44"/>
        <xdr:cNvSpPr txBox="1"/>
      </xdr:nvSpPr>
      <xdr:spPr>
        <a:xfrm>
          <a:off x="2802465" y="1968501"/>
          <a:ext cx="347134" cy="520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Gill Sans"/>
              <a:cs typeface="Gill Sans"/>
            </a:rPr>
            <a:t>tv</a:t>
          </a:r>
        </a:p>
      </xdr:txBody>
    </xdr:sp>
    <xdr:clientData/>
  </xdr:twoCellAnchor>
  <xdr:twoCellAnchor>
    <xdr:from>
      <xdr:col>21</xdr:col>
      <xdr:colOff>40207</xdr:colOff>
      <xdr:row>42</xdr:row>
      <xdr:rowOff>527044</xdr:rowOff>
    </xdr:from>
    <xdr:to>
      <xdr:col>22</xdr:col>
      <xdr:colOff>16933</xdr:colOff>
      <xdr:row>42</xdr:row>
      <xdr:rowOff>823375</xdr:rowOff>
    </xdr:to>
    <xdr:grpSp>
      <xdr:nvGrpSpPr>
        <xdr:cNvPr id="41" name="Group 40"/>
        <xdr:cNvGrpSpPr/>
      </xdr:nvGrpSpPr>
      <xdr:grpSpPr>
        <a:xfrm>
          <a:off x="5363539" y="8531600"/>
          <a:ext cx="279494" cy="299379"/>
          <a:chOff x="5374207" y="8655044"/>
          <a:chExt cx="281526" cy="296331"/>
        </a:xfrm>
      </xdr:grpSpPr>
      <xdr:pic>
        <xdr:nvPicPr>
          <xdr:cNvPr id="37" name="tv.png" descr="/Users/skylight/Dropbox/Graphic Design/Graphics/tv.png"/>
          <xdr:cNvPicPr>
            <a:picLocks noChangeAspect="1"/>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5374218" y="8655044"/>
            <a:ext cx="270934" cy="275166"/>
          </a:xfrm>
          <a:prstGeom prst="rect">
            <a:avLst/>
          </a:prstGeom>
          <a:effectLst>
            <a:outerShdw blurRad="50800" dist="38100" dir="2700000" algn="tl" rotWithShape="0">
              <a:schemeClr val="accent2">
                <a:alpha val="43000"/>
              </a:schemeClr>
            </a:outerShdw>
          </a:effectLst>
        </xdr:spPr>
      </xdr:pic>
      <xdr:sp macro="" textlink="">
        <xdr:nvSpPr>
          <xdr:cNvPr id="47" name="TextBox 46"/>
          <xdr:cNvSpPr txBox="1"/>
        </xdr:nvSpPr>
        <xdr:spPr>
          <a:xfrm>
            <a:off x="5374207" y="8688909"/>
            <a:ext cx="281526"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Gill Sans"/>
                <a:cs typeface="Gill Sans"/>
              </a:rPr>
              <a:t>tv</a:t>
            </a:r>
          </a:p>
        </xdr:txBody>
      </xdr:sp>
    </xdr:grpSp>
    <xdr:clientData/>
  </xdr:twoCellAnchor>
  <xdr:absoluteAnchor>
    <xdr:pos x="1769535" y="1888068"/>
    <xdr:ext cx="304802" cy="254000"/>
    <xdr:sp macro="" textlink="">
      <xdr:nvSpPr>
        <xdr:cNvPr id="50" name="TextBox 49"/>
        <xdr:cNvSpPr txBox="1"/>
      </xdr:nvSpPr>
      <xdr:spPr>
        <a:xfrm>
          <a:off x="1769535" y="1888068"/>
          <a:ext cx="304802"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Gill Sans"/>
              <a:cs typeface="Gill Sans"/>
            </a:rPr>
            <a:t>VP</a:t>
          </a:r>
        </a:p>
      </xdr:txBody>
    </xdr:sp>
    <xdr:clientData/>
  </xdr:absoluteAnchor>
  <xdr:absoluteAnchor>
    <xdr:pos x="1955810" y="8185151"/>
    <xdr:ext cx="965199" cy="2118"/>
    <xdr:cxnSp macro="">
      <xdr:nvCxnSpPr>
        <xdr:cNvPr id="51" name="Straight Connector 50"/>
        <xdr:cNvCxnSpPr/>
      </xdr:nvCxnSpPr>
      <xdr:spPr>
        <a:xfrm>
          <a:off x="1955810" y="8185151"/>
          <a:ext cx="965199" cy="2118"/>
        </a:xfrm>
        <a:prstGeom prst="line">
          <a:avLst/>
        </a:prstGeom>
        <a:ln w="6350">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absoluteAnchor>
  <xdr:absoluteAnchor>
    <xdr:pos x="1955800" y="8395763"/>
    <xdr:ext cx="450849" cy="0"/>
    <xdr:cxnSp macro="">
      <xdr:nvCxnSpPr>
        <xdr:cNvPr id="52" name="Straight Connector 51"/>
        <xdr:cNvCxnSpPr/>
      </xdr:nvCxnSpPr>
      <xdr:spPr>
        <a:xfrm>
          <a:off x="1955800" y="8395763"/>
          <a:ext cx="450849" cy="0"/>
        </a:xfrm>
        <a:prstGeom prst="line">
          <a:avLst/>
        </a:prstGeom>
        <a:ln w="6350">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absoluteAnchor>
  <xdr:absoluteAnchor>
    <xdr:pos x="1955800" y="8572500"/>
    <xdr:ext cx="228599" cy="0"/>
    <xdr:cxnSp macro="">
      <xdr:nvCxnSpPr>
        <xdr:cNvPr id="53" name="Straight Connector 52"/>
        <xdr:cNvCxnSpPr/>
      </xdr:nvCxnSpPr>
      <xdr:spPr>
        <a:xfrm>
          <a:off x="1955800" y="8572500"/>
          <a:ext cx="228599" cy="0"/>
        </a:xfrm>
        <a:prstGeom prst="line">
          <a:avLst/>
        </a:prstGeom>
        <a:ln w="6350">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absoluteAnchor>
  <xdr:absoluteAnchor>
    <xdr:pos x="1955801" y="8739717"/>
    <xdr:ext cx="114299" cy="0"/>
    <xdr:cxnSp macro="">
      <xdr:nvCxnSpPr>
        <xdr:cNvPr id="54" name="Straight Connector 53"/>
        <xdr:cNvCxnSpPr/>
      </xdr:nvCxnSpPr>
      <xdr:spPr>
        <a:xfrm>
          <a:off x="1955801" y="8739717"/>
          <a:ext cx="114299" cy="0"/>
        </a:xfrm>
        <a:prstGeom prst="line">
          <a:avLst/>
        </a:prstGeom>
        <a:ln w="6350">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absoluteAnchor>
  <xdr:twoCellAnchor>
    <xdr:from>
      <xdr:col>24</xdr:col>
      <xdr:colOff>40206</xdr:colOff>
      <xdr:row>19</xdr:row>
      <xdr:rowOff>171444</xdr:rowOff>
    </xdr:from>
    <xdr:to>
      <xdr:col>25</xdr:col>
      <xdr:colOff>16932</xdr:colOff>
      <xdr:row>21</xdr:row>
      <xdr:rowOff>154509</xdr:rowOff>
    </xdr:to>
    <xdr:grpSp>
      <xdr:nvGrpSpPr>
        <xdr:cNvPr id="55" name="Group 54"/>
        <xdr:cNvGrpSpPr/>
      </xdr:nvGrpSpPr>
      <xdr:grpSpPr>
        <a:xfrm>
          <a:off x="6277938" y="3846824"/>
          <a:ext cx="279494" cy="285325"/>
          <a:chOff x="5374207" y="8655044"/>
          <a:chExt cx="281526" cy="296331"/>
        </a:xfrm>
      </xdr:grpSpPr>
      <xdr:pic>
        <xdr:nvPicPr>
          <xdr:cNvPr id="56" name="tv.png" descr="/Users/skylight/Dropbox/Graphic Design/Graphics/tv.png"/>
          <xdr:cNvPicPr>
            <a:picLocks noChangeAspect="1"/>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5374218" y="8655044"/>
            <a:ext cx="270934" cy="275166"/>
          </a:xfrm>
          <a:prstGeom prst="rect">
            <a:avLst/>
          </a:prstGeom>
          <a:effectLst>
            <a:outerShdw blurRad="50800" dist="38100" dir="2700000" algn="tl" rotWithShape="0">
              <a:schemeClr val="accent2">
                <a:alpha val="43000"/>
              </a:schemeClr>
            </a:outerShdw>
          </a:effectLst>
        </xdr:spPr>
      </xdr:pic>
      <xdr:sp macro="" textlink="">
        <xdr:nvSpPr>
          <xdr:cNvPr id="57" name="TextBox 56"/>
          <xdr:cNvSpPr txBox="1"/>
        </xdr:nvSpPr>
        <xdr:spPr>
          <a:xfrm>
            <a:off x="5374207" y="8688909"/>
            <a:ext cx="281526"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Gill Sans"/>
                <a:cs typeface="Gill Sans"/>
              </a:rPr>
              <a:t>tv</a:t>
            </a:r>
          </a:p>
        </xdr:txBody>
      </xdr:sp>
    </xdr:grpSp>
    <xdr:clientData/>
  </xdr:twoCellAnchor>
  <xdr:twoCellAnchor>
    <xdr:from>
      <xdr:col>19</xdr:col>
      <xdr:colOff>74073</xdr:colOff>
      <xdr:row>6</xdr:row>
      <xdr:rowOff>349246</xdr:rowOff>
    </xdr:from>
    <xdr:to>
      <xdr:col>20</xdr:col>
      <xdr:colOff>50799</xdr:colOff>
      <xdr:row>8</xdr:row>
      <xdr:rowOff>196844</xdr:rowOff>
    </xdr:to>
    <xdr:grpSp>
      <xdr:nvGrpSpPr>
        <xdr:cNvPr id="58" name="Group 57"/>
        <xdr:cNvGrpSpPr/>
      </xdr:nvGrpSpPr>
      <xdr:grpSpPr>
        <a:xfrm>
          <a:off x="4734465" y="1088386"/>
          <a:ext cx="282542" cy="295654"/>
          <a:chOff x="5374207" y="8655044"/>
          <a:chExt cx="281526" cy="296331"/>
        </a:xfrm>
      </xdr:grpSpPr>
      <xdr:pic>
        <xdr:nvPicPr>
          <xdr:cNvPr id="59" name="tv.png" descr="/Users/skylight/Dropbox/Graphic Design/Graphics/tv.png"/>
          <xdr:cNvPicPr>
            <a:picLocks noChangeAspect="1"/>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5374218" y="8655044"/>
            <a:ext cx="270934" cy="275166"/>
          </a:xfrm>
          <a:prstGeom prst="rect">
            <a:avLst/>
          </a:prstGeom>
          <a:effectLst>
            <a:outerShdw blurRad="50800" dist="38100" dir="2700000" algn="tl" rotWithShape="0">
              <a:schemeClr val="accent2">
                <a:alpha val="43000"/>
              </a:schemeClr>
            </a:outerShdw>
          </a:effectLst>
        </xdr:spPr>
      </xdr:pic>
      <xdr:sp macro="" textlink="">
        <xdr:nvSpPr>
          <xdr:cNvPr id="60" name="TextBox 59"/>
          <xdr:cNvSpPr txBox="1"/>
        </xdr:nvSpPr>
        <xdr:spPr>
          <a:xfrm>
            <a:off x="5374207" y="8688909"/>
            <a:ext cx="281526"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Gill Sans"/>
                <a:cs typeface="Gill Sans"/>
              </a:rPr>
              <a:t>tv</a:t>
            </a:r>
          </a:p>
        </xdr:txBody>
      </xdr:sp>
    </xdr:grpSp>
    <xdr:clientData/>
  </xdr:twoCellAnchor>
  <xdr:absoluteAnchor>
    <xdr:pos x="2904065" y="1949454"/>
    <xdr:ext cx="592669" cy="505872"/>
    <xdr:grpSp>
      <xdr:nvGrpSpPr>
        <xdr:cNvPr id="62" name="Group 61"/>
        <xdr:cNvGrpSpPr/>
      </xdr:nvGrpSpPr>
      <xdr:grpSpPr>
        <a:xfrm>
          <a:off x="2904065" y="1949454"/>
          <a:ext cx="592669" cy="505872"/>
          <a:chOff x="6231468" y="1780122"/>
          <a:chExt cx="592669" cy="505872"/>
        </a:xfrm>
      </xdr:grpSpPr>
      <xdr:pic>
        <xdr:nvPicPr>
          <xdr:cNvPr id="63" name="051352-glossy-black-icon-natural-wonders-fire3.png" descr="/Users/skylight/Dropbox/Graphic Design/Graphics/051352-glossy-black-icon-natural-wonders-fire3.png"/>
          <xdr:cNvPicPr>
            <a:picLocks noChangeAspect="1"/>
          </xdr:cNvPicPr>
        </xdr:nvPicPr>
        <xdr:blipFill>
          <a:blip xmlns:r="http://schemas.openxmlformats.org/officeDocument/2006/relationships" r:embed="rId10" r:link="rId11">
            <a:extLst>
              <a:ext uri="{28A0092B-C50C-407E-A947-70E740481C1C}">
                <a14:useLocalDpi xmlns:a14="http://schemas.microsoft.com/office/drawing/2010/main" val="0"/>
              </a:ext>
            </a:extLst>
          </a:blip>
          <a:stretch>
            <a:fillRect/>
          </a:stretch>
        </xdr:blipFill>
        <xdr:spPr>
          <a:xfrm>
            <a:off x="6273096" y="1780122"/>
            <a:ext cx="468489" cy="379589"/>
          </a:xfrm>
          <a:prstGeom prst="rect">
            <a:avLst/>
          </a:prstGeom>
        </xdr:spPr>
      </xdr:pic>
      <xdr:sp macro="" textlink="">
        <xdr:nvSpPr>
          <xdr:cNvPr id="64" name="TextBox 63"/>
          <xdr:cNvSpPr txBox="1"/>
        </xdr:nvSpPr>
        <xdr:spPr>
          <a:xfrm>
            <a:off x="6231468" y="2031994"/>
            <a:ext cx="592669"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Gill Sans"/>
                <a:cs typeface="Gill Sans"/>
              </a:rPr>
              <a:t>fireplace</a:t>
            </a:r>
          </a:p>
        </xdr:txBody>
      </xdr:sp>
    </xdr:grpSp>
    <xdr:clientData/>
  </xdr:absoluteAnchor>
  <xdr:absoluteAnchor>
    <xdr:pos x="1151467" y="745069"/>
    <xdr:ext cx="304802" cy="237062"/>
    <xdr:sp macro="" textlink="">
      <xdr:nvSpPr>
        <xdr:cNvPr id="49" name="TextBox 48"/>
        <xdr:cNvSpPr txBox="1"/>
      </xdr:nvSpPr>
      <xdr:spPr>
        <a:xfrm>
          <a:off x="1151467" y="745069"/>
          <a:ext cx="304802" cy="237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Gill Sans"/>
              <a:cs typeface="Gill Sans"/>
            </a:rPr>
            <a:t>SP</a:t>
          </a:r>
        </a:p>
      </xdr:txBody>
    </xdr:sp>
    <xdr:clientData/>
  </xdr:absoluteAnchor>
</xdr:wsDr>
</file>

<file path=xl/drawings/drawing3.xml><?xml version="1.0" encoding="utf-8"?>
<xdr:wsDr xmlns:xdr="http://schemas.openxmlformats.org/drawingml/2006/spreadsheetDrawing" xmlns:a="http://schemas.openxmlformats.org/drawingml/2006/main">
  <xdr:absoluteAnchor>
    <xdr:pos x="1022334" y="321736"/>
    <xdr:ext cx="5852595" cy="8729132"/>
    <xdr:pic>
      <xdr:nvPicPr>
        <xdr:cNvPr id="2" name="No Table Floor Plan _ Working.png" descr="/Users/skylight/Dropbox/Graphic Design/Building Drawings/Blueprints - Blank:Modified/No Table Floor Plan _ Working.png"/>
        <xdr:cNvPicPr>
          <a:picLocks noChangeAspect="1"/>
        </xdr:cNvPicPr>
      </xdr:nvPicPr>
      <xdr:blipFill>
        <a:blip xmlns:r="http://schemas.openxmlformats.org/officeDocument/2006/relationships" r:embed="rId1" r:link="rId2">
          <a:alphaModFix/>
          <a:extLst>
            <a:ext uri="{28A0092B-C50C-407E-A947-70E740481C1C}">
              <a14:useLocalDpi xmlns:a14="http://schemas.microsoft.com/office/drawing/2010/main" val="0"/>
            </a:ext>
          </a:extLst>
        </a:blip>
        <a:stretch>
          <a:fillRect/>
        </a:stretch>
      </xdr:blipFill>
      <xdr:spPr>
        <a:xfrm rot="5400000">
          <a:off x="-415934" y="1760004"/>
          <a:ext cx="8729132" cy="5852595"/>
        </a:xfrm>
        <a:prstGeom prst="rect">
          <a:avLst/>
        </a:prstGeom>
      </xdr:spPr>
    </xdr:pic>
    <xdr:clientData/>
  </xdr:absoluteAnchor>
  <xdr:twoCellAnchor editAs="oneCell">
    <xdr:from>
      <xdr:col>1</xdr:col>
      <xdr:colOff>8465</xdr:colOff>
      <xdr:row>1</xdr:row>
      <xdr:rowOff>8465</xdr:rowOff>
    </xdr:from>
    <xdr:to>
      <xdr:col>4</xdr:col>
      <xdr:colOff>241156</xdr:colOff>
      <xdr:row>3</xdr:row>
      <xdr:rowOff>186267</xdr:rowOff>
    </xdr:to>
    <xdr:pic>
      <xdr:nvPicPr>
        <xdr:cNvPr id="3" name="Picture 2" descr="Logo with Location.pdf"/>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865" y="33865"/>
          <a:ext cx="956591" cy="647702"/>
        </a:xfrm>
        <a:prstGeom prst="rect">
          <a:avLst/>
        </a:prstGeom>
      </xdr:spPr>
    </xdr:pic>
    <xdr:clientData/>
  </xdr:twoCellAnchor>
  <xdr:absoluteAnchor>
    <xdr:pos x="2514599" y="389469"/>
    <xdr:ext cx="1295399" cy="812798"/>
    <xdr:sp macro="" textlink="">
      <xdr:nvSpPr>
        <xdr:cNvPr id="4" name="TextBox 3"/>
        <xdr:cNvSpPr txBox="1"/>
      </xdr:nvSpPr>
      <xdr:spPr>
        <a:xfrm>
          <a:off x="2514599" y="389469"/>
          <a:ext cx="1295399" cy="812798"/>
        </a:xfrm>
        <a:prstGeom prst="rect">
          <a:avLst/>
        </a:prstGeom>
        <a:solidFill>
          <a:schemeClr val="lt1"/>
        </a:solidFill>
        <a:ln w="3175" cmpd="sng">
          <a:solidFill>
            <a:srgbClr val="00600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u="none">
              <a:latin typeface="Wingdings"/>
              <a:ea typeface="Wingdings"/>
              <a:cs typeface="Wingdings"/>
            </a:rPr>
            <a:t></a:t>
          </a:r>
          <a:r>
            <a:rPr lang="en-US" sz="1000" b="1" u="none">
              <a:latin typeface="Gill Sans"/>
              <a:cs typeface="Gill Sans"/>
            </a:rPr>
            <a:t> </a:t>
          </a:r>
          <a:r>
            <a:rPr lang="en-US" sz="1200" b="1" u="sng">
              <a:latin typeface="Calibri"/>
              <a:cs typeface="Calibri"/>
            </a:rPr>
            <a:t>VP</a:t>
          </a:r>
        </a:p>
        <a:p>
          <a:pPr algn="ctr"/>
          <a:r>
            <a:rPr lang="en-US" sz="1000" baseline="0">
              <a:latin typeface="Calibri"/>
              <a:cs typeface="Calibri"/>
            </a:rPr>
            <a:t>Valet Parking</a:t>
          </a:r>
        </a:p>
        <a:p>
          <a:pPr algn="ctr"/>
          <a:r>
            <a:rPr lang="en-US" sz="1000" u="sng" baseline="0">
              <a:latin typeface="Calibri"/>
              <a:cs typeface="Calibri"/>
            </a:rPr>
            <a:t>1139 Glendon Ave</a:t>
          </a:r>
        </a:p>
        <a:p>
          <a:pPr algn="ctr"/>
          <a:r>
            <a:rPr lang="en-US" sz="800">
              <a:latin typeface="Calibri"/>
              <a:cs typeface="Calibri"/>
            </a:rPr>
            <a:t>valet</a:t>
          </a:r>
          <a:r>
            <a:rPr lang="en-US" sz="800" baseline="0">
              <a:latin typeface="Calibri"/>
              <a:cs typeface="Calibri"/>
            </a:rPr>
            <a:t> </a:t>
          </a:r>
          <a:r>
            <a:rPr lang="en-US" sz="800">
              <a:latin typeface="Calibri"/>
              <a:cs typeface="Calibri"/>
            </a:rPr>
            <a:t>available restaurant main entrance</a:t>
          </a:r>
        </a:p>
      </xdr:txBody>
    </xdr:sp>
    <xdr:clientData/>
  </xdr:absoluteAnchor>
  <xdr:absoluteAnchor>
    <xdr:pos x="6557425" y="4995345"/>
    <xdr:ext cx="266675" cy="1295390"/>
    <xdr:sp macro="" textlink="">
      <xdr:nvSpPr>
        <xdr:cNvPr id="5" name="TextBox 4"/>
        <xdr:cNvSpPr txBox="1"/>
      </xdr:nvSpPr>
      <xdr:spPr>
        <a:xfrm rot="5400000">
          <a:off x="6043068" y="5509702"/>
          <a:ext cx="1295390" cy="266675"/>
        </a:xfrm>
        <a:prstGeom prst="rect">
          <a:avLst/>
        </a:prstGeom>
        <a:solidFill>
          <a:srgbClr val="F2F2F2"/>
        </a:solidFill>
        <a:ln w="9525" cmpd="sng">
          <a:solidFill>
            <a:srgbClr val="009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latin typeface="Wingdings"/>
              <a:ea typeface="Wingdings"/>
              <a:cs typeface="Wingdings"/>
            </a:rPr>
            <a:t></a:t>
          </a:r>
          <a:r>
            <a:rPr lang="en-US" sz="1000">
              <a:latin typeface="Gill Sans"/>
              <a:ea typeface="Wingdings"/>
              <a:cs typeface="Gill Sans"/>
            </a:rPr>
            <a:t> </a:t>
          </a:r>
          <a:r>
            <a:rPr lang="en-US" sz="1000">
              <a:latin typeface="Calibri"/>
              <a:ea typeface="Wingdings"/>
              <a:cs typeface="Calibri"/>
            </a:rPr>
            <a:t>Lindbrook</a:t>
          </a:r>
          <a:r>
            <a:rPr lang="en-US" sz="1000" baseline="0">
              <a:latin typeface="Calibri"/>
              <a:ea typeface="Wingdings"/>
              <a:cs typeface="Calibri"/>
            </a:rPr>
            <a:t> Dr. </a:t>
          </a:r>
          <a:r>
            <a:rPr lang="en-US" sz="1000">
              <a:latin typeface="Wingdings"/>
              <a:ea typeface="Wingdings"/>
              <a:cs typeface="Wingdings"/>
            </a:rPr>
            <a:t></a:t>
          </a:r>
          <a:endParaRPr lang="en-US" sz="1000"/>
        </a:p>
      </xdr:txBody>
    </xdr:sp>
    <xdr:clientData/>
  </xdr:absoluteAnchor>
  <xdr:absoluteAnchor>
    <xdr:pos x="1092202" y="389470"/>
    <xdr:ext cx="1363132" cy="804330"/>
    <xdr:sp macro="" textlink="">
      <xdr:nvSpPr>
        <xdr:cNvPr id="6" name="TextBox 5"/>
        <xdr:cNvSpPr txBox="1"/>
      </xdr:nvSpPr>
      <xdr:spPr>
        <a:xfrm>
          <a:off x="1092202" y="389470"/>
          <a:ext cx="1363132" cy="804330"/>
        </a:xfrm>
        <a:prstGeom prst="rect">
          <a:avLst/>
        </a:prstGeom>
        <a:solidFill>
          <a:schemeClr val="lt1"/>
        </a:solidFill>
        <a:ln w="3175" cmpd="sng">
          <a:solidFill>
            <a:srgbClr val="00600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u="none">
              <a:latin typeface="Wingdings"/>
              <a:ea typeface="Wingdings"/>
              <a:cs typeface="Wingdings"/>
            </a:rPr>
            <a:t></a:t>
          </a:r>
          <a:r>
            <a:rPr lang="en-US" sz="1000" b="1" u="none">
              <a:latin typeface="Gill Sans"/>
              <a:ea typeface="+mn-ea"/>
              <a:cs typeface="Gill Sans"/>
            </a:rPr>
            <a:t> </a:t>
          </a:r>
          <a:r>
            <a:rPr lang="en-US" sz="1200" b="1" u="sng">
              <a:latin typeface="Calibri"/>
              <a:ea typeface="+mn-ea"/>
              <a:cs typeface="Calibri"/>
            </a:rPr>
            <a:t>SP</a:t>
          </a:r>
          <a:endParaRPr lang="en-US" sz="1200" b="1" u="sng">
            <a:latin typeface="Calibri"/>
            <a:cs typeface="Calibri"/>
          </a:endParaRPr>
        </a:p>
        <a:p>
          <a:pPr algn="ctr"/>
          <a:r>
            <a:rPr lang="en-US" sz="1000" baseline="0">
              <a:latin typeface="Calibri"/>
              <a:cs typeface="Calibri"/>
            </a:rPr>
            <a:t>Free Self Parking</a:t>
          </a:r>
        </a:p>
        <a:p>
          <a:pPr algn="ctr"/>
          <a:r>
            <a:rPr lang="en-US" sz="1000" u="sng" baseline="0">
              <a:latin typeface="Calibri"/>
              <a:cs typeface="Calibri"/>
            </a:rPr>
            <a:t>1100 Glendon Ave</a:t>
          </a:r>
        </a:p>
        <a:p>
          <a:pPr algn="ctr"/>
          <a:r>
            <a:rPr lang="en-US" sz="800" baseline="0">
              <a:latin typeface="Calibri"/>
              <a:cs typeface="Calibri"/>
            </a:rPr>
            <a:t>parking garage directly across from main entrance</a:t>
          </a:r>
          <a:endParaRPr lang="en-US" sz="800">
            <a:latin typeface="Calibri"/>
            <a:cs typeface="Calibri"/>
          </a:endParaRPr>
        </a:p>
      </xdr:txBody>
    </xdr:sp>
    <xdr:clientData/>
  </xdr:absoluteAnchor>
  <xdr:absoluteAnchor>
    <xdr:pos x="1117570" y="7871885"/>
    <xdr:ext cx="2032000" cy="924983"/>
    <xdr:sp macro="" textlink="">
      <xdr:nvSpPr>
        <xdr:cNvPr id="9" name="TextBox 8"/>
        <xdr:cNvSpPr txBox="1"/>
      </xdr:nvSpPr>
      <xdr:spPr>
        <a:xfrm>
          <a:off x="1117570" y="7871885"/>
          <a:ext cx="2032000" cy="92498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1" i="1" u="none" baseline="0">
              <a:solidFill>
                <a:schemeClr val="tx1"/>
              </a:solidFill>
              <a:latin typeface="Calibri"/>
              <a:cs typeface="Calibri"/>
            </a:rPr>
            <a:t>                      Floor Plan Scale:</a:t>
          </a:r>
        </a:p>
        <a:p>
          <a:pPr algn="l"/>
          <a:r>
            <a:rPr lang="en-US" sz="800" i="1" baseline="0">
              <a:solidFill>
                <a:srgbClr val="000000"/>
              </a:solidFill>
              <a:latin typeface="Calibri"/>
              <a:cs typeface="Calibri"/>
            </a:rPr>
            <a:t>1" = 9.75'</a:t>
          </a:r>
        </a:p>
        <a:p>
          <a:pPr algn="l"/>
          <a:endParaRPr lang="en-US" sz="400" i="1" baseline="0">
            <a:solidFill>
              <a:srgbClr val="000000"/>
            </a:solidFill>
            <a:latin typeface="Calibri"/>
            <a:cs typeface="Calibri"/>
          </a:endParaRPr>
        </a:p>
        <a:p>
          <a:pPr algn="l"/>
          <a:r>
            <a:rPr lang="en-US" sz="800" i="1" baseline="0">
              <a:solidFill>
                <a:srgbClr val="000000"/>
              </a:solidFill>
              <a:latin typeface="Calibri"/>
              <a:cs typeface="Calibri"/>
            </a:rPr>
            <a:t>.5" = 4.9'</a:t>
          </a:r>
        </a:p>
        <a:p>
          <a:pPr algn="l"/>
          <a:r>
            <a:rPr lang="en-US" sz="400" i="1" baseline="0">
              <a:solidFill>
                <a:srgbClr val="000000"/>
              </a:solidFill>
              <a:latin typeface="Calibri"/>
              <a:cs typeface="Calibri"/>
            </a:rPr>
            <a:t> </a:t>
          </a:r>
        </a:p>
        <a:p>
          <a:pPr algn="l"/>
          <a:r>
            <a:rPr lang="en-US" sz="800" i="1" baseline="0">
              <a:solidFill>
                <a:srgbClr val="000000"/>
              </a:solidFill>
              <a:latin typeface="Calibri"/>
              <a:cs typeface="Calibri"/>
            </a:rPr>
            <a:t>.25" = 2.5'</a:t>
          </a:r>
        </a:p>
        <a:p>
          <a:pPr algn="l"/>
          <a:endParaRPr lang="en-US" sz="400" i="1" baseline="0">
            <a:solidFill>
              <a:srgbClr val="000000"/>
            </a:solidFill>
            <a:latin typeface="Calibri"/>
            <a:cs typeface="Calibri"/>
          </a:endParaRPr>
        </a:p>
        <a:p>
          <a:pPr algn="l"/>
          <a:r>
            <a:rPr lang="en-US" sz="800" i="1" baseline="0">
              <a:solidFill>
                <a:srgbClr val="000000"/>
              </a:solidFill>
              <a:latin typeface="Calibri"/>
              <a:cs typeface="Calibri"/>
            </a:rPr>
            <a:t>.125" = 1.25'</a:t>
          </a:r>
        </a:p>
      </xdr:txBody>
    </xdr:sp>
    <xdr:clientData/>
  </xdr:absoluteAnchor>
  <xdr:absoluteAnchor>
    <xdr:pos x="2726235" y="8504760"/>
    <xdr:ext cx="182033" cy="182033"/>
    <xdr:sp macro="" textlink="">
      <xdr:nvSpPr>
        <xdr:cNvPr id="10" name="Rectangle 9"/>
        <xdr:cNvSpPr/>
      </xdr:nvSpPr>
      <xdr:spPr>
        <a:xfrm>
          <a:off x="2726235" y="8504760"/>
          <a:ext cx="182033" cy="182033"/>
        </a:xfrm>
        <a:prstGeom prst="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nchorCtr="0"/>
        <a:lstStyle/>
        <a:p>
          <a:pPr algn="ctr"/>
          <a:r>
            <a:rPr lang="en-US" sz="600">
              <a:latin typeface="Calibri"/>
              <a:cs typeface="Calibri"/>
            </a:rPr>
            <a:t>24"</a:t>
          </a:r>
        </a:p>
      </xdr:txBody>
    </xdr:sp>
    <xdr:clientData/>
  </xdr:absoluteAnchor>
  <xdr:absoluteAnchor>
    <xdr:pos x="2150501" y="8358709"/>
    <xdr:ext cx="283633" cy="283633"/>
    <xdr:sp macro="" textlink="">
      <xdr:nvSpPr>
        <xdr:cNvPr id="11" name="Rectangle 10"/>
        <xdr:cNvSpPr/>
      </xdr:nvSpPr>
      <xdr:spPr>
        <a:xfrm>
          <a:off x="2150501" y="8358709"/>
          <a:ext cx="283633" cy="283633"/>
        </a:xfrm>
        <a:prstGeom prst="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lstStyle/>
        <a:p>
          <a:pPr algn="ctr"/>
          <a:r>
            <a:rPr lang="en-US" sz="600" b="1">
              <a:latin typeface="Calibri"/>
              <a:cs typeface="Calibri"/>
            </a:rPr>
            <a:t>36"</a:t>
          </a:r>
        </a:p>
      </xdr:txBody>
    </xdr:sp>
    <xdr:clientData/>
  </xdr:absoluteAnchor>
  <xdr:absoluteAnchor>
    <xdr:pos x="2543150" y="7973478"/>
    <xdr:ext cx="396331" cy="406399"/>
    <xdr:sp macro="" textlink="">
      <xdr:nvSpPr>
        <xdr:cNvPr id="12" name="Connector 11"/>
        <xdr:cNvSpPr/>
      </xdr:nvSpPr>
      <xdr:spPr>
        <a:xfrm>
          <a:off x="2543150" y="7973478"/>
          <a:ext cx="396331" cy="406399"/>
        </a:xfrm>
        <a:prstGeom prst="flowChartConnector">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nchorCtr="0"/>
        <a:lstStyle/>
        <a:p>
          <a:pPr algn="ctr"/>
          <a:r>
            <a:rPr lang="en-US" sz="600" b="1">
              <a:latin typeface="Calibri"/>
              <a:cs typeface="Calibri"/>
            </a:rPr>
            <a:t>50"</a:t>
          </a:r>
        </a:p>
      </xdr:txBody>
    </xdr:sp>
    <xdr:clientData/>
  </xdr:absoluteAnchor>
  <xdr:absoluteAnchor>
    <xdr:pos x="2616200" y="5435602"/>
    <xdr:ext cx="541866" cy="237066"/>
    <xdr:sp macro="" textlink="">
      <xdr:nvSpPr>
        <xdr:cNvPr id="13" name="TextBox 12"/>
        <xdr:cNvSpPr txBox="1"/>
      </xdr:nvSpPr>
      <xdr:spPr>
        <a:xfrm>
          <a:off x="2616200" y="5435602"/>
          <a:ext cx="541866" cy="237066"/>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b="1">
              <a:latin typeface="Calibri"/>
              <a:cs typeface="Calibri"/>
            </a:rPr>
            <a:t>Atrium</a:t>
          </a:r>
        </a:p>
      </xdr:txBody>
    </xdr:sp>
    <xdr:clientData/>
  </xdr:absoluteAnchor>
  <xdr:absoluteAnchor>
    <xdr:pos x="5291667" y="7577667"/>
    <xdr:ext cx="465666" cy="237067"/>
    <xdr:sp macro="" textlink="">
      <xdr:nvSpPr>
        <xdr:cNvPr id="14" name="TextBox 13"/>
        <xdr:cNvSpPr txBox="1"/>
      </xdr:nvSpPr>
      <xdr:spPr>
        <a:xfrm>
          <a:off x="5291667" y="7577667"/>
          <a:ext cx="465666" cy="237067"/>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b="1">
              <a:latin typeface="Calibri"/>
              <a:cs typeface="Calibri"/>
            </a:rPr>
            <a:t>Studio</a:t>
          </a:r>
        </a:p>
      </xdr:txBody>
    </xdr:sp>
    <xdr:clientData/>
  </xdr:absoluteAnchor>
  <xdr:absoluteAnchor>
    <xdr:pos x="5554131" y="1299635"/>
    <xdr:ext cx="584202" cy="232832"/>
    <xdr:sp macro="" textlink="">
      <xdr:nvSpPr>
        <xdr:cNvPr id="15" name="TextBox 14"/>
        <xdr:cNvSpPr txBox="1"/>
      </xdr:nvSpPr>
      <xdr:spPr>
        <a:xfrm>
          <a:off x="5554131" y="1299635"/>
          <a:ext cx="584202" cy="232832"/>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50" b="1" u="none">
              <a:latin typeface="Calibri"/>
              <a:cs typeface="Calibri"/>
            </a:rPr>
            <a:t>Rotunda</a:t>
          </a:r>
        </a:p>
      </xdr:txBody>
    </xdr:sp>
    <xdr:clientData/>
  </xdr:absoluteAnchor>
  <xdr:absoluteAnchor>
    <xdr:pos x="4199468" y="2853269"/>
    <xdr:ext cx="592665" cy="237066"/>
    <xdr:sp macro="" textlink="">
      <xdr:nvSpPr>
        <xdr:cNvPr id="16" name="TextBox 15"/>
        <xdr:cNvSpPr txBox="1"/>
      </xdr:nvSpPr>
      <xdr:spPr>
        <a:xfrm>
          <a:off x="4199468" y="2853269"/>
          <a:ext cx="592665" cy="237066"/>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b="1">
              <a:latin typeface="Calibri"/>
              <a:cs typeface="Calibri"/>
            </a:rPr>
            <a:t>Stone Bar</a:t>
          </a:r>
        </a:p>
      </xdr:txBody>
    </xdr:sp>
    <xdr:clientData/>
  </xdr:absoluteAnchor>
  <xdr:absoluteAnchor>
    <xdr:pos x="5571066" y="2865965"/>
    <xdr:ext cx="575734" cy="232835"/>
    <xdr:sp macro="" textlink="">
      <xdr:nvSpPr>
        <xdr:cNvPr id="17" name="TextBox 16"/>
        <xdr:cNvSpPr txBox="1"/>
      </xdr:nvSpPr>
      <xdr:spPr>
        <a:xfrm>
          <a:off x="5571066" y="2865965"/>
          <a:ext cx="575734" cy="232835"/>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50" b="1">
              <a:latin typeface="Calibri"/>
              <a:cs typeface="Calibri"/>
            </a:rPr>
            <a:t>Bar Area</a:t>
          </a:r>
        </a:p>
      </xdr:txBody>
    </xdr:sp>
    <xdr:clientData/>
  </xdr:absoluteAnchor>
  <xdr:absoluteAnchor>
    <xdr:pos x="2616199" y="5723472"/>
    <xdr:ext cx="541868" cy="237061"/>
    <xdr:sp macro="" textlink="">
      <xdr:nvSpPr>
        <xdr:cNvPr id="18" name="TextBox 17"/>
        <xdr:cNvSpPr txBox="1"/>
      </xdr:nvSpPr>
      <xdr:spPr>
        <a:xfrm>
          <a:off x="2616199" y="5723472"/>
          <a:ext cx="541868" cy="237061"/>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1">
              <a:latin typeface="Calibri"/>
              <a:cs typeface="Calibri"/>
            </a:rPr>
            <a:t>Balcony</a:t>
          </a:r>
        </a:p>
      </xdr:txBody>
    </xdr:sp>
    <xdr:clientData/>
  </xdr:absoluteAnchor>
  <xdr:twoCellAnchor editAs="oneCell">
    <xdr:from>
      <xdr:col>12</xdr:col>
      <xdr:colOff>294215</xdr:colOff>
      <xdr:row>11</xdr:row>
      <xdr:rowOff>148877</xdr:rowOff>
    </xdr:from>
    <xdr:to>
      <xdr:col>13</xdr:col>
      <xdr:colOff>265993</xdr:colOff>
      <xdr:row>12</xdr:row>
      <xdr:rowOff>147467</xdr:rowOff>
    </xdr:to>
    <xdr:pic>
      <xdr:nvPicPr>
        <xdr:cNvPr id="19" name="tv.png" descr="/Users/skylight/Dropbox/Graphic Design/Graphics/tv.png"/>
        <xdr:cNvPicPr>
          <a:picLocks noChangeAspect="1"/>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2770715" y="1901477"/>
          <a:ext cx="276578" cy="265290"/>
        </a:xfrm>
        <a:prstGeom prst="rect">
          <a:avLst/>
        </a:prstGeom>
        <a:effectLst>
          <a:outerShdw blurRad="50800" dist="38100" dir="2700000" algn="tl" rotWithShape="0">
            <a:schemeClr val="accent2">
              <a:alpha val="43000"/>
            </a:schemeClr>
          </a:outerShdw>
        </a:effectLst>
      </xdr:spPr>
    </xdr:pic>
    <xdr:clientData/>
  </xdr:twoCellAnchor>
  <xdr:absoluteAnchor>
    <xdr:pos x="4732868" y="4301067"/>
    <xdr:ext cx="1270000" cy="237070"/>
    <xdr:sp macro="" textlink="">
      <xdr:nvSpPr>
        <xdr:cNvPr id="23" name="TextBox 22"/>
        <xdr:cNvSpPr txBox="1"/>
      </xdr:nvSpPr>
      <xdr:spPr>
        <a:xfrm>
          <a:off x="4732868" y="4301067"/>
          <a:ext cx="1270000" cy="237070"/>
        </a:xfrm>
        <a:prstGeom prst="rect">
          <a:avLst/>
        </a:prstGeom>
        <a:solidFill>
          <a:schemeClr val="bg1">
            <a:lumMod val="95000"/>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b="1">
              <a:latin typeface="Calibri"/>
              <a:cs typeface="Calibri"/>
            </a:rPr>
            <a:t>Whiskey &amp; Wine Bar</a:t>
          </a:r>
        </a:p>
      </xdr:txBody>
    </xdr:sp>
    <xdr:clientData/>
  </xdr:absoluteAnchor>
  <xdr:absoluteAnchor>
    <xdr:pos x="1430511" y="2077080"/>
    <xdr:ext cx="1385118" cy="254286"/>
    <xdr:sp macro="" textlink="">
      <xdr:nvSpPr>
        <xdr:cNvPr id="27" name="TextBox 26"/>
        <xdr:cNvSpPr txBox="1"/>
      </xdr:nvSpPr>
      <xdr:spPr>
        <a:xfrm rot="20081381">
          <a:off x="1430511" y="2077080"/>
          <a:ext cx="1385118" cy="254286"/>
        </a:xfrm>
        <a:prstGeom prst="rect">
          <a:avLst/>
        </a:prstGeom>
        <a:solidFill>
          <a:schemeClr val="bg1">
            <a:lumMod val="95000"/>
          </a:schemeClr>
        </a:solidFill>
        <a:ln w="9525" cmpd="sng">
          <a:solidFill>
            <a:srgbClr val="009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Wingdings"/>
              <a:ea typeface="Wingdings"/>
              <a:cs typeface="Wingdings"/>
            </a:rPr>
            <a:t></a:t>
          </a:r>
          <a:r>
            <a:rPr lang="en-US" sz="1000" b="0">
              <a:latin typeface="Gill Sans"/>
              <a:ea typeface="Wingdings"/>
              <a:cs typeface="Gill Sans"/>
            </a:rPr>
            <a:t> </a:t>
          </a:r>
          <a:r>
            <a:rPr lang="en-US" sz="1000" b="0">
              <a:latin typeface="Calibri"/>
              <a:ea typeface="Wingdings"/>
              <a:cs typeface="Calibri"/>
            </a:rPr>
            <a:t>Glendon</a:t>
          </a:r>
          <a:r>
            <a:rPr lang="en-US" sz="1000" b="0" baseline="0">
              <a:latin typeface="Calibri"/>
              <a:ea typeface="Wingdings"/>
              <a:cs typeface="Calibri"/>
            </a:rPr>
            <a:t> Ave </a:t>
          </a:r>
          <a:r>
            <a:rPr lang="en-US" sz="1000" b="0">
              <a:latin typeface="Wingdings"/>
              <a:ea typeface="Wingdings"/>
              <a:cs typeface="Wingdings"/>
            </a:rPr>
            <a:t></a:t>
          </a:r>
          <a:endParaRPr lang="en-US" sz="1000" b="0"/>
        </a:p>
      </xdr:txBody>
    </xdr:sp>
    <xdr:clientData/>
  </xdr:absoluteAnchor>
  <xdr:absoluteAnchor>
    <xdr:pos x="6315430" y="1864789"/>
    <xdr:ext cx="468489" cy="379589"/>
    <xdr:pic>
      <xdr:nvPicPr>
        <xdr:cNvPr id="29" name="051352-glossy-black-icon-natural-wonders-fire3.png" descr="/Users/skylight/Dropbox/Graphic Design/Graphics/051352-glossy-black-icon-natural-wonders-fire3.png"/>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6315430" y="1864789"/>
          <a:ext cx="468489" cy="379589"/>
        </a:xfrm>
        <a:prstGeom prst="rect">
          <a:avLst/>
        </a:prstGeom>
      </xdr:spPr>
    </xdr:pic>
    <xdr:clientData/>
  </xdr:absoluteAnchor>
  <xdr:twoCellAnchor>
    <xdr:from>
      <xdr:col>21</xdr:col>
      <xdr:colOff>40218</xdr:colOff>
      <xdr:row>42</xdr:row>
      <xdr:rowOff>527044</xdr:rowOff>
    </xdr:from>
    <xdr:to>
      <xdr:col>22</xdr:col>
      <xdr:colOff>6352</xdr:colOff>
      <xdr:row>42</xdr:row>
      <xdr:rowOff>802210</xdr:rowOff>
    </xdr:to>
    <xdr:pic>
      <xdr:nvPicPr>
        <xdr:cNvPr id="33" name="tv.png" descr="/Users/skylight/Dropbox/Graphic Design/Graphics/tv.png"/>
        <xdr:cNvPicPr>
          <a:picLocks noChangeAspect="1"/>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5391151" y="8655044"/>
          <a:ext cx="270934" cy="275166"/>
        </a:xfrm>
        <a:prstGeom prst="rect">
          <a:avLst/>
        </a:prstGeom>
        <a:effectLst>
          <a:outerShdw blurRad="50800" dist="38100" dir="2700000" algn="tl" rotWithShape="0">
            <a:schemeClr val="accent2">
              <a:alpha val="43000"/>
            </a:schemeClr>
          </a:outerShdw>
        </a:effectLst>
      </xdr:spPr>
    </xdr:pic>
    <xdr:clientData/>
  </xdr:twoCellAnchor>
  <xdr:absoluteAnchor>
    <xdr:pos x="1202247" y="8185151"/>
    <xdr:ext cx="965199" cy="2118"/>
    <xdr:cxnSp macro="">
      <xdr:nvCxnSpPr>
        <xdr:cNvPr id="36" name="Straight Connector 35"/>
        <xdr:cNvCxnSpPr/>
      </xdr:nvCxnSpPr>
      <xdr:spPr>
        <a:xfrm>
          <a:off x="1202247" y="8185151"/>
          <a:ext cx="965199" cy="2118"/>
        </a:xfrm>
        <a:prstGeom prst="line">
          <a:avLst/>
        </a:prstGeom>
        <a:ln w="6350">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absoluteAnchor>
  <xdr:absoluteAnchor>
    <xdr:pos x="1202237" y="8395763"/>
    <xdr:ext cx="450849" cy="0"/>
    <xdr:cxnSp macro="">
      <xdr:nvCxnSpPr>
        <xdr:cNvPr id="37" name="Straight Connector 36"/>
        <xdr:cNvCxnSpPr/>
      </xdr:nvCxnSpPr>
      <xdr:spPr>
        <a:xfrm>
          <a:off x="1202237" y="8395763"/>
          <a:ext cx="450849" cy="0"/>
        </a:xfrm>
        <a:prstGeom prst="line">
          <a:avLst/>
        </a:prstGeom>
        <a:ln w="6350">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absoluteAnchor>
  <xdr:absoluteAnchor>
    <xdr:pos x="1202237" y="8572500"/>
    <xdr:ext cx="228599" cy="0"/>
    <xdr:cxnSp macro="">
      <xdr:nvCxnSpPr>
        <xdr:cNvPr id="38" name="Straight Connector 37"/>
        <xdr:cNvCxnSpPr/>
      </xdr:nvCxnSpPr>
      <xdr:spPr>
        <a:xfrm>
          <a:off x="1202237" y="8572500"/>
          <a:ext cx="228599" cy="0"/>
        </a:xfrm>
        <a:prstGeom prst="line">
          <a:avLst/>
        </a:prstGeom>
        <a:ln w="6350">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absoluteAnchor>
  <xdr:absoluteAnchor>
    <xdr:pos x="1202238" y="8739717"/>
    <xdr:ext cx="114299" cy="0"/>
    <xdr:cxnSp macro="">
      <xdr:nvCxnSpPr>
        <xdr:cNvPr id="39" name="Straight Connector 38"/>
        <xdr:cNvCxnSpPr/>
      </xdr:nvCxnSpPr>
      <xdr:spPr>
        <a:xfrm>
          <a:off x="1202238" y="8739717"/>
          <a:ext cx="114299" cy="0"/>
        </a:xfrm>
        <a:prstGeom prst="line">
          <a:avLst/>
        </a:prstGeom>
        <a:ln w="6350">
          <a:solidFill>
            <a:schemeClr val="tx1"/>
          </a:solidFill>
        </a:ln>
        <a:effectLst/>
      </xdr:spPr>
      <xdr:style>
        <a:lnRef idx="2">
          <a:schemeClr val="accent1"/>
        </a:lnRef>
        <a:fillRef idx="0">
          <a:schemeClr val="accent1"/>
        </a:fillRef>
        <a:effectRef idx="1">
          <a:schemeClr val="accent1"/>
        </a:effectRef>
        <a:fontRef idx="minor">
          <a:schemeClr val="tx1"/>
        </a:fontRef>
      </xdr:style>
    </xdr:cxnSp>
    <xdr:clientData/>
  </xdr:absoluteAnchor>
  <xdr:twoCellAnchor>
    <xdr:from>
      <xdr:col>24</xdr:col>
      <xdr:colOff>40217</xdr:colOff>
      <xdr:row>19</xdr:row>
      <xdr:rowOff>171444</xdr:rowOff>
    </xdr:from>
    <xdr:to>
      <xdr:col>25</xdr:col>
      <xdr:colOff>6351</xdr:colOff>
      <xdr:row>21</xdr:row>
      <xdr:rowOff>133344</xdr:rowOff>
    </xdr:to>
    <xdr:pic>
      <xdr:nvPicPr>
        <xdr:cNvPr id="41" name="tv.png" descr="/Users/skylight/Dropbox/Graphic Design/Graphics/tv.png"/>
        <xdr:cNvPicPr>
          <a:picLocks noChangeAspect="1"/>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6305550" y="3888311"/>
          <a:ext cx="270934" cy="275166"/>
        </a:xfrm>
        <a:prstGeom prst="rect">
          <a:avLst/>
        </a:prstGeom>
        <a:effectLst>
          <a:outerShdw blurRad="50800" dist="38100" dir="2700000" algn="tl" rotWithShape="0">
            <a:schemeClr val="accent2">
              <a:alpha val="43000"/>
            </a:schemeClr>
          </a:outerShdw>
        </a:effectLst>
      </xdr:spPr>
    </xdr:pic>
    <xdr:clientData/>
  </xdr:twoCellAnchor>
  <xdr:twoCellAnchor>
    <xdr:from>
      <xdr:col>19</xdr:col>
      <xdr:colOff>150283</xdr:colOff>
      <xdr:row>6</xdr:row>
      <xdr:rowOff>188379</xdr:rowOff>
    </xdr:from>
    <xdr:to>
      <xdr:col>20</xdr:col>
      <xdr:colOff>116417</xdr:colOff>
      <xdr:row>8</xdr:row>
      <xdr:rowOff>14812</xdr:rowOff>
    </xdr:to>
    <xdr:pic>
      <xdr:nvPicPr>
        <xdr:cNvPr id="44" name="tv.png" descr="/Users/skylight/Dropbox/Graphic Design/Graphics/tv.png"/>
        <xdr:cNvPicPr>
          <a:picLocks noChangeAspect="1"/>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4840816" y="933446"/>
          <a:ext cx="270934" cy="275166"/>
        </a:xfrm>
        <a:prstGeom prst="rect">
          <a:avLst/>
        </a:prstGeom>
        <a:effectLst>
          <a:outerShdw blurRad="50800" dist="38100" dir="2700000" algn="tl" rotWithShape="0">
            <a:schemeClr val="accent2">
              <a:alpha val="43000"/>
            </a:schemeClr>
          </a:outerShdw>
        </a:effectLst>
      </xdr:spPr>
    </xdr:pic>
    <xdr:clientData/>
  </xdr:twoCellAnchor>
  <xdr:absoluteAnchor>
    <xdr:pos x="2903360" y="2000254"/>
    <xdr:ext cx="468489" cy="379589"/>
    <xdr:pic>
      <xdr:nvPicPr>
        <xdr:cNvPr id="47" name="051352-glossy-black-icon-natural-wonders-fire3.png" descr="/Users/skylight/Dropbox/Graphic Design/Graphics/051352-glossy-black-icon-natural-wonders-fire3.png"/>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903360" y="2000254"/>
          <a:ext cx="468489" cy="379589"/>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44450</xdr:rowOff>
    </xdr:from>
    <xdr:to>
      <xdr:col>4</xdr:col>
      <xdr:colOff>236497</xdr:colOff>
      <xdr:row>5</xdr:row>
      <xdr:rowOff>11430</xdr:rowOff>
    </xdr:to>
    <xdr:pic>
      <xdr:nvPicPr>
        <xdr:cNvPr id="3" name="Picture 2" descr="Logo with Location.pd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00" y="44450"/>
          <a:ext cx="1188997" cy="7924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63500</xdr:colOff>
          <xdr:row>22</xdr:row>
          <xdr:rowOff>38100</xdr:rowOff>
        </xdr:from>
        <xdr:to>
          <xdr:col>6</xdr:col>
          <xdr:colOff>63500</xdr:colOff>
          <xdr:row>22</xdr:row>
          <xdr:rowOff>292100</xdr:rowOff>
        </xdr:to>
        <xdr:sp macro="" textlink="">
          <xdr:nvSpPr>
            <xdr:cNvPr id="2049" name="Option 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a:ea typeface="Calibri"/>
                  <a:cs typeface="Calibri"/>
                </a:rPr>
                <a:t>amex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22</xdr:row>
          <xdr:rowOff>38100</xdr:rowOff>
        </xdr:from>
        <xdr:to>
          <xdr:col>9</xdr:col>
          <xdr:colOff>88900</xdr:colOff>
          <xdr:row>22</xdr:row>
          <xdr:rowOff>292100</xdr:rowOff>
        </xdr:to>
        <xdr:sp macro="" textlink="">
          <xdr:nvSpPr>
            <xdr:cNvPr id="2050" name="Option Button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38100</xdr:rowOff>
        </xdr:from>
        <xdr:to>
          <xdr:col>13</xdr:col>
          <xdr:colOff>38100</xdr:colOff>
          <xdr:row>22</xdr:row>
          <xdr:rowOff>292100</xdr:rowOff>
        </xdr:to>
        <xdr:sp macro="" textlink="">
          <xdr:nvSpPr>
            <xdr:cNvPr id="2051" name="Option Button 3" hidden="1">
              <a:extLst>
                <a:ext uri="{63B3BB69-23CF-44E3-9099-C40C66FF867C}">
                  <a14:compatExt spid="_x0000_s2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master card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22</xdr:row>
          <xdr:rowOff>38100</xdr:rowOff>
        </xdr:from>
        <xdr:to>
          <xdr:col>15</xdr:col>
          <xdr:colOff>304800</xdr:colOff>
          <xdr:row>22</xdr:row>
          <xdr:rowOff>292100</xdr:rowOff>
        </xdr:to>
        <xdr:sp macro="" textlink="">
          <xdr:nvSpPr>
            <xdr:cNvPr id="2052" name="Option Button 4" hidden="1">
              <a:extLst>
                <a:ext uri="{63B3BB69-23CF-44E3-9099-C40C66FF867C}">
                  <a14:compatExt spid="_x0000_s2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discover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203200</xdr:colOff>
          <xdr:row>22</xdr:row>
          <xdr:rowOff>38100</xdr:rowOff>
        </xdr:from>
        <xdr:to>
          <xdr:col>19</xdr:col>
          <xdr:colOff>12700</xdr:colOff>
          <xdr:row>22</xdr:row>
          <xdr:rowOff>292100</xdr:rowOff>
        </xdr:to>
        <xdr:sp macro="" textlink="">
          <xdr:nvSpPr>
            <xdr:cNvPr id="2055" name="Option Button 7" hidden="1">
              <a:extLst>
                <a:ext uri="{63B3BB69-23CF-44E3-9099-C40C66FF867C}">
                  <a14:compatExt spid="_x0000_s2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fPrintsWithSheet="0"/>
      </xdr:twoCellAnchor>
    </mc:Choice>
    <mc:Fallback/>
  </mc:AlternateContent>
  <xdr:twoCellAnchor>
    <xdr:from>
      <xdr:col>19</xdr:col>
      <xdr:colOff>38100</xdr:colOff>
      <xdr:row>8</xdr:row>
      <xdr:rowOff>60960</xdr:rowOff>
    </xdr:from>
    <xdr:to>
      <xdr:col>25</xdr:col>
      <xdr:colOff>254000</xdr:colOff>
      <xdr:row>8</xdr:row>
      <xdr:rowOff>241300</xdr:rowOff>
    </xdr:to>
    <xdr:sp macro="" textlink="">
      <xdr:nvSpPr>
        <xdr:cNvPr id="5" name="TextBox 4"/>
        <xdr:cNvSpPr txBox="1"/>
      </xdr:nvSpPr>
      <xdr:spPr>
        <a:xfrm>
          <a:off x="5168900" y="1318260"/>
          <a:ext cx="2044700" cy="180340"/>
        </a:xfrm>
        <a:prstGeom prst="rect">
          <a:avLst/>
        </a:prstGeom>
        <a:solidFill>
          <a:srgbClr val="FDEAD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b="0">
              <a:solidFill>
                <a:srgbClr val="800000"/>
              </a:solidFill>
              <a:latin typeface="Wingdings"/>
              <a:ea typeface="Wingdings"/>
              <a:cs typeface="Wingdings"/>
            </a:rPr>
            <a:t></a:t>
          </a:r>
          <a:r>
            <a:rPr lang="en-US" sz="700" b="0">
              <a:solidFill>
                <a:srgbClr val="800000"/>
              </a:solidFill>
              <a:latin typeface="Gill Sans"/>
              <a:ea typeface="Wingdings"/>
              <a:cs typeface="Gill Sans"/>
            </a:rPr>
            <a:t> </a:t>
          </a:r>
          <a:r>
            <a:rPr lang="en-US" sz="700" b="1">
              <a:solidFill>
                <a:srgbClr val="800000"/>
              </a:solidFill>
              <a:latin typeface="Calibri"/>
              <a:cs typeface="Calibri"/>
            </a:rPr>
            <a:t>Host</a:t>
          </a:r>
          <a:r>
            <a:rPr lang="en-US" sz="700" b="1" baseline="0">
              <a:solidFill>
                <a:srgbClr val="800000"/>
              </a:solidFill>
              <a:latin typeface="Calibri"/>
              <a:cs typeface="Calibri"/>
            </a:rPr>
            <a:t> </a:t>
          </a:r>
          <a:r>
            <a:rPr lang="en-US" sz="700" b="1">
              <a:solidFill>
                <a:srgbClr val="800000"/>
              </a:solidFill>
              <a:latin typeface="Calibri"/>
              <a:cs typeface="Calibri"/>
            </a:rPr>
            <a:t>Info</a:t>
          </a:r>
          <a:r>
            <a:rPr lang="en-US" sz="700" b="1" baseline="0">
              <a:solidFill>
                <a:srgbClr val="800000"/>
              </a:solidFill>
              <a:latin typeface="Calibri"/>
              <a:cs typeface="Calibri"/>
            </a:rPr>
            <a:t> from Event Agreement Sheet </a:t>
          </a:r>
          <a:r>
            <a:rPr lang="en-US" sz="700" b="0" baseline="0">
              <a:solidFill>
                <a:srgbClr val="800000"/>
              </a:solidFill>
              <a:latin typeface="Wingdings"/>
              <a:ea typeface="Wingdings"/>
              <a:cs typeface="Wingdings"/>
            </a:rPr>
            <a:t></a:t>
          </a:r>
          <a:endParaRPr lang="en-US" sz="700" b="0">
            <a:solidFill>
              <a:srgbClr val="800000"/>
            </a:solidFill>
            <a:latin typeface="Gill Sans"/>
            <a:cs typeface="Gill San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xdr:col>
      <xdr:colOff>3</xdr:colOff>
      <xdr:row>1</xdr:row>
      <xdr:rowOff>4</xdr:rowOff>
    </xdr:from>
    <xdr:to>
      <xdr:col>5</xdr:col>
      <xdr:colOff>110067</xdr:colOff>
      <xdr:row>5</xdr:row>
      <xdr:rowOff>3304</xdr:rowOff>
    </xdr:to>
    <xdr:pic>
      <xdr:nvPicPr>
        <xdr:cNvPr id="2" name="Picture 1" descr="Logo with Location.pd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03" y="16937"/>
          <a:ext cx="1092197" cy="714500"/>
        </a:xfrm>
        <a:prstGeom prst="rect">
          <a:avLst/>
        </a:prstGeom>
      </xdr:spPr>
    </xdr:pic>
    <xdr:clientData/>
  </xdr:twoCellAnchor>
  <xdr:absoluteAnchor>
    <xdr:pos x="711198" y="2590798"/>
    <xdr:ext cx="2006601" cy="143935"/>
    <xdr:sp macro="" textlink="">
      <xdr:nvSpPr>
        <xdr:cNvPr id="12" name="TextBox 11"/>
        <xdr:cNvSpPr txBox="1"/>
      </xdr:nvSpPr>
      <xdr:spPr>
        <a:xfrm>
          <a:off x="711198" y="2590798"/>
          <a:ext cx="2006601" cy="143935"/>
        </a:xfrm>
        <a:prstGeom prst="rect">
          <a:avLst/>
        </a:prstGeom>
        <a:solidFill>
          <a:srgbClr val="FDEAD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700">
              <a:solidFill>
                <a:srgbClr val="800000"/>
              </a:solidFill>
              <a:latin typeface="Wingdings"/>
              <a:ea typeface="Wingdings"/>
              <a:cs typeface="Wingdings"/>
            </a:rPr>
            <a:t></a:t>
          </a:r>
          <a:r>
            <a:rPr lang="en-US" sz="700">
              <a:solidFill>
                <a:srgbClr val="800000"/>
              </a:solidFill>
              <a:latin typeface="Calibri"/>
              <a:cs typeface="Calibri"/>
            </a:rPr>
            <a:t> Auto filled using Agreement sheet data. </a:t>
          </a:r>
          <a:r>
            <a:rPr lang="en-US" sz="700">
              <a:solidFill>
                <a:srgbClr val="800000"/>
              </a:solidFill>
              <a:latin typeface="Wingdings"/>
              <a:ea typeface="Wingdings"/>
              <a:cs typeface="Wingdings"/>
            </a:rPr>
            <a:t></a:t>
          </a:r>
          <a:endParaRPr lang="en-US" sz="700">
            <a:solidFill>
              <a:srgbClr val="800000"/>
            </a:solidFill>
            <a:latin typeface="Gill Sans"/>
            <a:cs typeface="Gill Sans"/>
          </a:endParaRPr>
        </a:p>
      </xdr:txBody>
    </xdr:sp>
    <xdr:clientData fPrintsWithSheet="0"/>
  </xdr:absoluteAnchor>
  <xdr:absoluteAnchor>
    <xdr:pos x="1813985" y="6705610"/>
    <xdr:ext cx="4832350" cy="160864"/>
    <xdr:sp macro="" textlink="">
      <xdr:nvSpPr>
        <xdr:cNvPr id="13" name="TextBox 12"/>
        <xdr:cNvSpPr txBox="1"/>
      </xdr:nvSpPr>
      <xdr:spPr>
        <a:xfrm>
          <a:off x="1813985" y="6705610"/>
          <a:ext cx="4832350" cy="160864"/>
        </a:xfrm>
        <a:prstGeom prst="rect">
          <a:avLst/>
        </a:prstGeom>
        <a:solidFill>
          <a:srgbClr val="FDEAD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700">
              <a:solidFill>
                <a:srgbClr val="800000"/>
              </a:solidFill>
              <a:latin typeface="Wingdings"/>
              <a:ea typeface="Wingdings"/>
              <a:cs typeface="Wingdings"/>
            </a:rPr>
            <a:t></a:t>
          </a:r>
          <a:r>
            <a:rPr lang="en-US" sz="700">
              <a:solidFill>
                <a:srgbClr val="800000"/>
              </a:solidFill>
              <a:latin typeface="Calibri"/>
              <a:ea typeface="+mn-ea"/>
              <a:cs typeface="Calibri"/>
            </a:rPr>
            <a:t>Always</a:t>
          </a:r>
          <a:r>
            <a:rPr lang="en-US" sz="700" baseline="0">
              <a:solidFill>
                <a:srgbClr val="800000"/>
              </a:solidFill>
              <a:latin typeface="Calibri"/>
              <a:ea typeface="+mn-ea"/>
              <a:cs typeface="Calibri"/>
            </a:rPr>
            <a:t> enter a table # below when processing a deposit</a:t>
          </a:r>
          <a:r>
            <a:rPr lang="en-US" sz="700">
              <a:solidFill>
                <a:srgbClr val="800000"/>
              </a:solidFill>
              <a:latin typeface="Calibri"/>
              <a:cs typeface="Calibri"/>
            </a:rPr>
            <a:t>. All Events must</a:t>
          </a:r>
          <a:r>
            <a:rPr lang="en-US" sz="700" baseline="0">
              <a:solidFill>
                <a:srgbClr val="800000"/>
              </a:solidFill>
              <a:latin typeface="Calibri"/>
              <a:cs typeface="Calibri"/>
            </a:rPr>
            <a:t> also have a Club Account on the POS System.</a:t>
          </a:r>
          <a:r>
            <a:rPr lang="en-US" sz="700">
              <a:solidFill>
                <a:srgbClr val="800000"/>
              </a:solidFill>
              <a:latin typeface="Wingdings"/>
              <a:ea typeface="Wingdings"/>
              <a:cs typeface="Wingdings"/>
            </a:rPr>
            <a:t></a:t>
          </a:r>
          <a:endParaRPr lang="en-US" sz="700">
            <a:solidFill>
              <a:srgbClr val="800000"/>
            </a:solidFill>
            <a:latin typeface="Gill Sans"/>
            <a:cs typeface="Gill Sans"/>
          </a:endParaRPr>
        </a:p>
      </xdr:txBody>
    </xdr:sp>
    <xdr:clientData fPrintsWithSheet="0"/>
  </xdr:absoluteAnchor>
  <xdr:absoluteAnchor>
    <xdr:pos x="812800" y="1145116"/>
    <xdr:ext cx="1794933" cy="141817"/>
    <xdr:sp macro="" textlink="">
      <xdr:nvSpPr>
        <xdr:cNvPr id="14" name="TextBox 13"/>
        <xdr:cNvSpPr txBox="1"/>
      </xdr:nvSpPr>
      <xdr:spPr>
        <a:xfrm>
          <a:off x="812800" y="1145116"/>
          <a:ext cx="1794933" cy="141817"/>
        </a:xfrm>
        <a:prstGeom prst="rect">
          <a:avLst/>
        </a:prstGeom>
        <a:solidFill>
          <a:srgbClr val="FDEAD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700">
              <a:solidFill>
                <a:srgbClr val="800000"/>
              </a:solidFill>
              <a:latin typeface="Wingdings"/>
              <a:ea typeface="Wingdings"/>
              <a:cs typeface="Wingdings"/>
            </a:rPr>
            <a:t></a:t>
          </a:r>
          <a:r>
            <a:rPr lang="en-US" sz="700">
              <a:solidFill>
                <a:srgbClr val="800000"/>
              </a:solidFill>
              <a:latin typeface="Gill Sans"/>
              <a:ea typeface="+mn-ea"/>
              <a:cs typeface="Gill Sans"/>
            </a:rPr>
            <a:t> </a:t>
          </a:r>
          <a:r>
            <a:rPr lang="en-US" sz="700">
              <a:solidFill>
                <a:srgbClr val="800000"/>
              </a:solidFill>
              <a:latin typeface="Calibri"/>
              <a:ea typeface="+mn-ea"/>
              <a:cs typeface="Calibri"/>
            </a:rPr>
            <a:t>Auto filled</a:t>
          </a:r>
          <a:r>
            <a:rPr lang="en-US" sz="700" baseline="0">
              <a:solidFill>
                <a:srgbClr val="800000"/>
              </a:solidFill>
              <a:latin typeface="Calibri"/>
              <a:ea typeface="+mn-ea"/>
              <a:cs typeface="Calibri"/>
            </a:rPr>
            <a:t> using Agreement sheet data </a:t>
          </a:r>
          <a:r>
            <a:rPr lang="en-US" sz="700">
              <a:solidFill>
                <a:srgbClr val="800000"/>
              </a:solidFill>
              <a:latin typeface="Wingdings"/>
              <a:ea typeface="Wingdings"/>
              <a:cs typeface="Wingdings"/>
            </a:rPr>
            <a:t></a:t>
          </a:r>
          <a:endParaRPr lang="en-US" sz="700">
            <a:solidFill>
              <a:srgbClr val="800000"/>
            </a:solidFill>
            <a:latin typeface="Gill Sans"/>
            <a:cs typeface="Gill Sans"/>
          </a:endParaRPr>
        </a:p>
      </xdr:txBody>
    </xdr:sp>
    <xdr:clientData fPrintsWithSheet="0"/>
  </xdr:absoluteAnchor>
  <mc:AlternateContent xmlns:mc="http://schemas.openxmlformats.org/markup-compatibility/2006">
    <mc:Choice xmlns:a14="http://schemas.microsoft.com/office/drawing/2010/main" Requires="a14">
      <xdr:twoCellAnchor editAs="absolute">
        <xdr:from>
          <xdr:col>1</xdr:col>
          <xdr:colOff>38100</xdr:colOff>
          <xdr:row>38</xdr:row>
          <xdr:rowOff>0</xdr:rowOff>
        </xdr:from>
        <xdr:to>
          <xdr:col>5</xdr:col>
          <xdr:colOff>25400</xdr:colOff>
          <xdr:row>39</xdr:row>
          <xdr:rowOff>12700</xdr:rowOff>
        </xdr:to>
        <xdr:sp macro="" textlink="">
          <xdr:nvSpPr>
            <xdr:cNvPr id="1045" name="Drop Down 21" hidden="1">
              <a:extLst>
                <a:ext uri="{63B3BB69-23CF-44E3-9099-C40C66FF867C}">
                  <a14:compatExt spid="_x0000_s1045"/>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215900</xdr:colOff>
          <xdr:row>23</xdr:row>
          <xdr:rowOff>12700</xdr:rowOff>
        </xdr:from>
        <xdr:to>
          <xdr:col>29</xdr:col>
          <xdr:colOff>38100</xdr:colOff>
          <xdr:row>23</xdr:row>
          <xdr:rowOff>203200</xdr:rowOff>
        </xdr:to>
        <xdr:sp macro="" textlink="">
          <xdr:nvSpPr>
            <xdr:cNvPr id="1055" name="Scroll Bar 31" hidden="1">
              <a:extLst>
                <a:ext uri="{63B3BB69-23CF-44E3-9099-C40C66FF867C}">
                  <a14:compatExt spid="_x0000_s1055"/>
                </a:ext>
              </a:extLst>
            </xdr:cNvPr>
            <xdr:cNvSpPr/>
          </xdr:nvSpPr>
          <xdr:spPr>
            <a:xfrm>
              <a:off x="0" y="0"/>
              <a:ext cx="0" cy="0"/>
            </a:xfrm>
            <a:prstGeom prst="rect">
              <a:avLst/>
            </a:prstGeom>
          </xdr:spPr>
        </xdr:sp>
        <xdr:clientData fPrintsWithSheet="0"/>
      </xdr:twoCellAnchor>
    </mc:Choice>
    <mc:Fallback/>
  </mc:AlternateContent>
  <xdr:absoluteAnchor>
    <xdr:pos x="770456" y="3784598"/>
    <xdr:ext cx="4106334" cy="143935"/>
    <xdr:sp macro="" textlink="">
      <xdr:nvSpPr>
        <xdr:cNvPr id="10" name="TextBox 9"/>
        <xdr:cNvSpPr txBox="1"/>
      </xdr:nvSpPr>
      <xdr:spPr>
        <a:xfrm>
          <a:off x="770456" y="3784598"/>
          <a:ext cx="4106334" cy="143935"/>
        </a:xfrm>
        <a:prstGeom prst="rect">
          <a:avLst/>
        </a:prstGeom>
        <a:solidFill>
          <a:srgbClr val="FDEAD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700">
              <a:solidFill>
                <a:srgbClr val="800000"/>
              </a:solidFill>
              <a:latin typeface="Calibri"/>
              <a:cs typeface="Calibri"/>
            </a:rPr>
            <a:t>Guest</a:t>
          </a:r>
          <a:r>
            <a:rPr lang="en-US" sz="700" baseline="0">
              <a:solidFill>
                <a:srgbClr val="800000"/>
              </a:solidFill>
              <a:latin typeface="Calibri"/>
              <a:cs typeface="Calibri"/>
            </a:rPr>
            <a:t> Guarantee adjustment scroll bar, final Guest Guarantee may be fluctuate between Events in series </a:t>
          </a:r>
          <a:r>
            <a:rPr lang="en-US" sz="700" baseline="0">
              <a:solidFill>
                <a:srgbClr val="800000"/>
              </a:solidFill>
              <a:latin typeface="Wingdings"/>
              <a:ea typeface="Wingdings"/>
              <a:cs typeface="Wingdings"/>
            </a:rPr>
            <a:t></a:t>
          </a:r>
          <a:endParaRPr lang="en-US" sz="700" baseline="0">
            <a:solidFill>
              <a:srgbClr val="800000"/>
            </a:solidFill>
            <a:latin typeface="Calibri"/>
            <a:cs typeface="Calibri"/>
          </a:endParaRPr>
        </a:p>
      </xdr:txBody>
    </xdr:sp>
    <xdr:clientData fPrintsWithSheet="0"/>
  </xdr:absoluteAnchor>
  <mc:AlternateContent xmlns:mc="http://schemas.openxmlformats.org/markup-compatibility/2006">
    <mc:Choice xmlns:a14="http://schemas.microsoft.com/office/drawing/2010/main" Requires="a14">
      <xdr:twoCellAnchor editAs="absolute">
        <xdr:from>
          <xdr:col>13</xdr:col>
          <xdr:colOff>12700</xdr:colOff>
          <xdr:row>20</xdr:row>
          <xdr:rowOff>215900</xdr:rowOff>
        </xdr:from>
        <xdr:to>
          <xdr:col>16</xdr:col>
          <xdr:colOff>241300</xdr:colOff>
          <xdr:row>22</xdr:row>
          <xdr:rowOff>12700</xdr:rowOff>
        </xdr:to>
        <xdr:sp macro="" textlink="">
          <xdr:nvSpPr>
            <xdr:cNvPr id="1056" name="Drop Down 32" hidden="1">
              <a:extLst>
                <a:ext uri="{63B3BB69-23CF-44E3-9099-C40C66FF867C}">
                  <a14:compatExt spid="_x0000_s105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25400</xdr:colOff>
          <xdr:row>20</xdr:row>
          <xdr:rowOff>215900</xdr:rowOff>
        </xdr:from>
        <xdr:to>
          <xdr:col>20</xdr:col>
          <xdr:colOff>228600</xdr:colOff>
          <xdr:row>22</xdr:row>
          <xdr:rowOff>12700</xdr:rowOff>
        </xdr:to>
        <xdr:sp macro="" textlink="">
          <xdr:nvSpPr>
            <xdr:cNvPr id="1057" name="Drop Down 33" hidden="1">
              <a:extLst>
                <a:ext uri="{63B3BB69-23CF-44E3-9099-C40C66FF867C}">
                  <a14:compatExt spid="_x0000_s105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21</xdr:col>
          <xdr:colOff>12700</xdr:colOff>
          <xdr:row>20</xdr:row>
          <xdr:rowOff>203200</xdr:rowOff>
        </xdr:from>
        <xdr:to>
          <xdr:col>24</xdr:col>
          <xdr:colOff>228600</xdr:colOff>
          <xdr:row>21</xdr:row>
          <xdr:rowOff>215900</xdr:rowOff>
        </xdr:to>
        <xdr:sp macro="" textlink="">
          <xdr:nvSpPr>
            <xdr:cNvPr id="1058" name="Drop Down 34" hidden="1">
              <a:extLst>
                <a:ext uri="{63B3BB69-23CF-44E3-9099-C40C66FF867C}">
                  <a14:compatExt spid="_x0000_s105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25</xdr:col>
          <xdr:colOff>12700</xdr:colOff>
          <xdr:row>17</xdr:row>
          <xdr:rowOff>215900</xdr:rowOff>
        </xdr:from>
        <xdr:to>
          <xdr:col>28</xdr:col>
          <xdr:colOff>241300</xdr:colOff>
          <xdr:row>19</xdr:row>
          <xdr:rowOff>12700</xdr:rowOff>
        </xdr:to>
        <xdr:sp macro="" textlink="">
          <xdr:nvSpPr>
            <xdr:cNvPr id="1059" name="Drop Down 35" hidden="1">
              <a:extLst>
                <a:ext uri="{63B3BB69-23CF-44E3-9099-C40C66FF867C}">
                  <a14:compatExt spid="_x0000_s105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25400</xdr:colOff>
          <xdr:row>18</xdr:row>
          <xdr:rowOff>0</xdr:rowOff>
        </xdr:from>
        <xdr:to>
          <xdr:col>21</xdr:col>
          <xdr:colOff>0</xdr:colOff>
          <xdr:row>19</xdr:row>
          <xdr:rowOff>12700</xdr:rowOff>
        </xdr:to>
        <xdr:sp macro="" textlink="">
          <xdr:nvSpPr>
            <xdr:cNvPr id="1060" name="Drop Down 36" hidden="1">
              <a:extLst>
                <a:ext uri="{63B3BB69-23CF-44E3-9099-C40C66FF867C}">
                  <a14:compatExt spid="_x0000_s106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21</xdr:col>
          <xdr:colOff>38100</xdr:colOff>
          <xdr:row>18</xdr:row>
          <xdr:rowOff>0</xdr:rowOff>
        </xdr:from>
        <xdr:to>
          <xdr:col>24</xdr:col>
          <xdr:colOff>241300</xdr:colOff>
          <xdr:row>19</xdr:row>
          <xdr:rowOff>12700</xdr:rowOff>
        </xdr:to>
        <xdr:sp macro="" textlink="">
          <xdr:nvSpPr>
            <xdr:cNvPr id="1061" name="Drop Down 37" hidden="1">
              <a:extLst>
                <a:ext uri="{63B3BB69-23CF-44E3-9099-C40C66FF867C}">
                  <a14:compatExt spid="_x0000_s106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12700</xdr:colOff>
          <xdr:row>18</xdr:row>
          <xdr:rowOff>0</xdr:rowOff>
        </xdr:from>
        <xdr:to>
          <xdr:col>17</xdr:col>
          <xdr:colOff>25400</xdr:colOff>
          <xdr:row>20</xdr:row>
          <xdr:rowOff>0</xdr:rowOff>
        </xdr:to>
        <xdr:sp macro="" textlink="">
          <xdr:nvSpPr>
            <xdr:cNvPr id="1062" name="Drop Down 38" hidden="1">
              <a:extLst>
                <a:ext uri="{63B3BB69-23CF-44E3-9099-C40C66FF867C}">
                  <a14:compatExt spid="_x0000_s1062"/>
                </a:ext>
              </a:extLst>
            </xdr:cNvPr>
            <xdr:cNvSpPr/>
          </xdr:nvSpPr>
          <xdr:spPr>
            <a:xfrm>
              <a:off x="0" y="0"/>
              <a:ext cx="0" cy="0"/>
            </a:xfrm>
            <a:prstGeom prst="rect">
              <a:avLst/>
            </a:prstGeom>
          </xdr:spPr>
        </xdr:sp>
        <xdr:clientData fPrintsWithSheet="0"/>
      </xdr:twoCellAnchor>
    </mc:Choice>
    <mc:Fallback/>
  </mc:AlternateContent>
  <xdr:absoluteAnchor>
    <xdr:pos x="3329519" y="9753608"/>
    <xdr:ext cx="3587748" cy="143925"/>
    <xdr:sp macro="" textlink="">
      <xdr:nvSpPr>
        <xdr:cNvPr id="19" name="TextBox 18"/>
        <xdr:cNvSpPr txBox="1"/>
      </xdr:nvSpPr>
      <xdr:spPr>
        <a:xfrm>
          <a:off x="3329519" y="9753608"/>
          <a:ext cx="3587748" cy="143925"/>
        </a:xfrm>
        <a:prstGeom prst="rect">
          <a:avLst/>
        </a:prstGeom>
        <a:solidFill>
          <a:srgbClr val="FDEAD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700" b="0" u="none">
              <a:solidFill>
                <a:srgbClr val="800000"/>
              </a:solidFill>
              <a:latin typeface="Calibri"/>
              <a:ea typeface="Wingdings"/>
              <a:cs typeface="Calibri"/>
            </a:rPr>
            <a:t>Carriage Return in Cell: </a:t>
          </a:r>
          <a:r>
            <a:rPr lang="en-US" sz="700" b="1">
              <a:solidFill>
                <a:srgbClr val="800000"/>
              </a:solidFill>
              <a:latin typeface="Calibri"/>
              <a:ea typeface="Wingdings"/>
              <a:cs typeface="Calibri"/>
            </a:rPr>
            <a:t>Mac</a:t>
          </a:r>
          <a:r>
            <a:rPr lang="en-US" sz="700">
              <a:solidFill>
                <a:srgbClr val="800000"/>
              </a:solidFill>
              <a:latin typeface="Calibri"/>
              <a:ea typeface="Wingdings"/>
              <a:cs typeface="Calibri"/>
            </a:rPr>
            <a:t> = (⌘ command + ⌥ option + ↵ enter) </a:t>
          </a:r>
          <a:r>
            <a:rPr lang="en-US" sz="700" b="1">
              <a:solidFill>
                <a:srgbClr val="800000"/>
              </a:solidFill>
              <a:latin typeface="Calibri"/>
              <a:ea typeface="Wingdings"/>
              <a:cs typeface="Calibri"/>
            </a:rPr>
            <a:t>Windows</a:t>
          </a:r>
          <a:r>
            <a:rPr lang="en-US" sz="700">
              <a:solidFill>
                <a:srgbClr val="800000"/>
              </a:solidFill>
              <a:latin typeface="Calibri"/>
              <a:ea typeface="Wingdings"/>
              <a:cs typeface="Calibri"/>
            </a:rPr>
            <a:t> = (Alt + Enter)</a:t>
          </a:r>
          <a:endParaRPr lang="en-US" sz="700">
            <a:solidFill>
              <a:srgbClr val="800000"/>
            </a:solidFill>
            <a:latin typeface="Calibri"/>
            <a:cs typeface="Calibri"/>
          </a:endParaRPr>
        </a:p>
      </xdr:txBody>
    </xdr:sp>
    <xdr:clientData fPrintsWithSheet="0"/>
  </xdr:absoluteAnchor>
</xdr:wsDr>
</file>

<file path=xl/drawings/drawing6.xml><?xml version="1.0" encoding="utf-8"?>
<xdr:wsDr xmlns:xdr="http://schemas.openxmlformats.org/drawingml/2006/spreadsheetDrawing" xmlns:a="http://schemas.openxmlformats.org/drawingml/2006/main">
  <xdr:twoCellAnchor editAs="oneCell">
    <xdr:from>
      <xdr:col>1</xdr:col>
      <xdr:colOff>2</xdr:colOff>
      <xdr:row>0</xdr:row>
      <xdr:rowOff>8467</xdr:rowOff>
    </xdr:from>
    <xdr:to>
      <xdr:col>6</xdr:col>
      <xdr:colOff>1852</xdr:colOff>
      <xdr:row>5</xdr:row>
      <xdr:rowOff>8467</xdr:rowOff>
    </xdr:to>
    <xdr:pic>
      <xdr:nvPicPr>
        <xdr:cNvPr id="2" name="Picture 1" descr="Logo with Location.pd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02" y="8467"/>
          <a:ext cx="1229517" cy="804333"/>
        </a:xfrm>
        <a:prstGeom prst="rect">
          <a:avLst/>
        </a:prstGeom>
      </xdr:spPr>
    </xdr:pic>
    <xdr:clientData/>
  </xdr:twoCellAnchor>
  <xdr:twoCellAnchor editAs="oneCell">
    <xdr:from>
      <xdr:col>1</xdr:col>
      <xdr:colOff>15916</xdr:colOff>
      <xdr:row>51</xdr:row>
      <xdr:rowOff>93134</xdr:rowOff>
    </xdr:from>
    <xdr:to>
      <xdr:col>10</xdr:col>
      <xdr:colOff>88899</xdr:colOff>
      <xdr:row>100</xdr:row>
      <xdr:rowOff>25401</xdr:rowOff>
    </xdr:to>
    <xdr:pic>
      <xdr:nvPicPr>
        <xdr:cNvPr id="4" name="Picture 3" descr="160114LSTCC-_Event_4-Keila_Mejia1.pdf"/>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716" y="10092267"/>
          <a:ext cx="2282783" cy="7230534"/>
        </a:xfrm>
        <a:prstGeom prst="rect">
          <a:avLst/>
        </a:prstGeom>
      </xdr:spPr>
    </xdr:pic>
    <xdr:clientData/>
  </xdr:twoCellAnchor>
  <xdr:twoCellAnchor editAs="oneCell">
    <xdr:from>
      <xdr:col>11</xdr:col>
      <xdr:colOff>8467</xdr:colOff>
      <xdr:row>51</xdr:row>
      <xdr:rowOff>135467</xdr:rowOff>
    </xdr:from>
    <xdr:to>
      <xdr:col>28</xdr:col>
      <xdr:colOff>118533</xdr:colOff>
      <xdr:row>90</xdr:row>
      <xdr:rowOff>25400</xdr:rowOff>
    </xdr:to>
    <xdr:pic>
      <xdr:nvPicPr>
        <xdr:cNvPr id="5" name="Picture 4" descr="160114LSTCC- Event 4-Keila Mejia.pdf"/>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499" t="1868" r="2417" b="2010"/>
        <a:stretch/>
      </xdr:blipFill>
      <xdr:spPr>
        <a:xfrm>
          <a:off x="2514600" y="10134600"/>
          <a:ext cx="4284133" cy="5664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ln>
          <a:headEnd type="arrow"/>
          <a:tailEnd type="arrow"/>
        </a:ln>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trlProp" Target="../ctrlProps/ctrlProp1.xml"/><Relationship Id="rId5" Type="http://schemas.openxmlformats.org/officeDocument/2006/relationships/ctrlProp" Target="../ctrlProps/ctrlProp2.xml"/><Relationship Id="rId6" Type="http://schemas.openxmlformats.org/officeDocument/2006/relationships/ctrlProp" Target="../ctrlProps/ctrlProp3.xml"/><Relationship Id="rId7" Type="http://schemas.openxmlformats.org/officeDocument/2006/relationships/ctrlProp" Target="../ctrlProps/ctrlProp4.xml"/><Relationship Id="rId8" Type="http://schemas.openxmlformats.org/officeDocument/2006/relationships/ctrlProp" Target="../ctrlProps/ctrlProp5.xml"/><Relationship Id="rId9" Type="http://schemas.openxmlformats.org/officeDocument/2006/relationships/ctrlProp" Target="../ctrlProps/ctrlProp6.xml"/><Relationship Id="rId10" Type="http://schemas.openxmlformats.org/officeDocument/2006/relationships/ctrlProp" Target="../ctrlProps/ctrlProp7.xml"/><Relationship Id="rId11" Type="http://schemas.openxmlformats.org/officeDocument/2006/relationships/ctrlProp" Target="../ctrlProps/ctrlProp8.xml"/><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4" Type="http://schemas.openxmlformats.org/officeDocument/2006/relationships/ctrlProp" Target="../ctrlProps/ctrlProp9.xml"/><Relationship Id="rId5" Type="http://schemas.openxmlformats.org/officeDocument/2006/relationships/ctrlProp" Target="../ctrlProps/ctrlProp10.xml"/><Relationship Id="rId6" Type="http://schemas.openxmlformats.org/officeDocument/2006/relationships/ctrlProp" Target="../ctrlProps/ctrlProp11.xml"/><Relationship Id="rId7" Type="http://schemas.openxmlformats.org/officeDocument/2006/relationships/ctrlProp" Target="../ctrlProps/ctrlProp12.xml"/><Relationship Id="rId8" Type="http://schemas.openxmlformats.org/officeDocument/2006/relationships/ctrlProp" Target="../ctrlProps/ctrlProp13.xml"/><Relationship Id="rId1" Type="http://schemas.openxmlformats.org/officeDocument/2006/relationships/drawing" Target="../drawings/drawing4.xml"/><Relationship Id="rId2"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1" Type="http://schemas.openxmlformats.org/officeDocument/2006/relationships/ctrlProp" Target="../ctrlProps/ctrlProp21.xml"/><Relationship Id="rId12" Type="http://schemas.openxmlformats.org/officeDocument/2006/relationships/ctrlProp" Target="../ctrlProps/ctrlProp22.xml"/><Relationship Id="rId1" Type="http://schemas.openxmlformats.org/officeDocument/2006/relationships/drawing" Target="../drawings/drawing5.xml"/><Relationship Id="rId2" Type="http://schemas.openxmlformats.org/officeDocument/2006/relationships/vmlDrawing" Target="../drawings/vmlDrawing6.vml"/><Relationship Id="rId3" Type="http://schemas.openxmlformats.org/officeDocument/2006/relationships/vmlDrawing" Target="../drawings/vmlDrawing7.vml"/><Relationship Id="rId4" Type="http://schemas.openxmlformats.org/officeDocument/2006/relationships/ctrlProp" Target="../ctrlProps/ctrlProp14.xml"/><Relationship Id="rId5" Type="http://schemas.openxmlformats.org/officeDocument/2006/relationships/ctrlProp" Target="../ctrlProps/ctrlProp15.xml"/><Relationship Id="rId6" Type="http://schemas.openxmlformats.org/officeDocument/2006/relationships/ctrlProp" Target="../ctrlProps/ctrlProp16.xml"/><Relationship Id="rId7" Type="http://schemas.openxmlformats.org/officeDocument/2006/relationships/ctrlProp" Target="../ctrlProps/ctrlProp17.xml"/><Relationship Id="rId8" Type="http://schemas.openxmlformats.org/officeDocument/2006/relationships/ctrlProp" Target="../ctrlProps/ctrlProp18.xml"/><Relationship Id="rId9" Type="http://schemas.openxmlformats.org/officeDocument/2006/relationships/ctrlProp" Target="../ctrlProps/ctrlProp19.xml"/><Relationship Id="rId10"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theme="5"/>
  </sheetPr>
  <dimension ref="A1:EP308"/>
  <sheetViews>
    <sheetView tabSelected="1" view="pageLayout" topLeftCell="B84" zoomScale="150" workbookViewId="0">
      <selection activeCell="B89" sqref="B89:Y89"/>
    </sheetView>
  </sheetViews>
  <sheetFormatPr baseColWidth="10" defaultRowHeight="12" customHeight="1" x14ac:dyDescent="0"/>
  <cols>
    <col min="1" max="1" width="0.6640625" style="12" customWidth="1"/>
    <col min="2" max="4" width="3.33203125" style="62" customWidth="1"/>
    <col min="5" max="27" width="3.33203125" style="12" customWidth="1"/>
    <col min="28" max="28" width="0.1640625" style="12" customWidth="1"/>
    <col min="37" max="146" width="10.83203125" style="10"/>
    <col min="147" max="16384" width="10.83203125" style="12"/>
  </cols>
  <sheetData>
    <row r="1" spans="1:146" ht="2" customHeight="1">
      <c r="R1" s="72"/>
      <c r="S1" s="72"/>
      <c r="T1" s="72"/>
    </row>
    <row r="2" spans="1:146" ht="12" customHeight="1">
      <c r="B2" s="12"/>
      <c r="C2" s="12"/>
      <c r="D2" s="12"/>
      <c r="F2" s="510" t="s">
        <v>241</v>
      </c>
      <c r="G2" s="510"/>
      <c r="H2" s="510"/>
      <c r="I2" s="510"/>
      <c r="J2" s="510"/>
      <c r="K2" s="510"/>
      <c r="L2" s="511"/>
      <c r="M2" s="373" t="s">
        <v>141</v>
      </c>
      <c r="N2" s="374"/>
      <c r="O2" s="381" t="str">
        <f>IF((COUNT(B22,B25:AA25))&gt;1,"S-"&amp;IF($B22&gt;0,(CONCATENATE(TEXT('FACT 1'!$B$102,"yymmdd"),'FACT 1'!$F$102,'FACT 1'!$AC$102,Z126))," "),IF($B22&gt;0,(CONCATENATE(TEXT('FACT 1'!$B$102,"yymmdd"),'FACT 1'!$F$102,'FACT 1'!$AC$102,Z126)),""))</f>
        <v>160621LRTCC</v>
      </c>
      <c r="P2" s="381"/>
      <c r="Q2" s="381"/>
      <c r="R2" s="381"/>
      <c r="S2" s="382" t="str">
        <f>IF((COUNT(B22,B25:AA25))&gt;1,"Date Range:","Event Date:")</f>
        <v>Event Date:</v>
      </c>
      <c r="T2" s="382"/>
      <c r="U2" s="382"/>
      <c r="V2" s="368" t="str">
        <f>IF(B22&gt;0,
IF(Z25&gt;0,
(CONCATENATE(TEXT(B22,"m/d/yyyy"))&amp;" - "&amp;(TEXT(Z25,"m/d/yyyy")&amp;"  ("&amp;(COUNT(B22,B25:AA25))&amp;" events)")),
IF(X25&gt;0,
(CONCATENATE(TEXT(B22,"m/d/yyyy"))&amp;" - "&amp;(TEXT(X25,"m/d/yyyy")&amp;"  ("&amp;(COUNT(B22,B25:AA25))&amp;" events)")),
IF(V25&gt;0,
(CONCATENATE(TEXT(B22,"m/d/yyyy"))&amp;" - "&amp;(TEXT(V25,"m/d/yyyy")&amp;"  ("&amp;(COUNT(B22,B25:AA25))&amp;" events)")),
IF(T25&gt;0,
(CONCATENATE(TEXT(B22,"m/d/yyyy"))&amp;" - "&amp;(TEXT(T25,"m/d/yyyy")&amp;"  ("&amp;(COUNT(B22,B25:AA25))&amp;" events)")),
IF(R25&gt;0,
(CONCATENATE(TEXT(B22,"m/d/yyyy"))&amp;" - "&amp;(TEXT(R25,"m/d/yyyy")&amp;"  ("&amp;(COUNT(B22,B25:AA25))&amp;" events)")),
IF(P25&gt;0,
(CONCATENATE(TEXT(B22,"m/d/yyyy"))&amp;" - "&amp;(TEXT(P25,"m/d/yyyy")&amp;"  ("&amp;(COUNT(B22,B25:AA25))&amp;" events)")),
IF(N25&gt;0,
(CONCATENATE(TEXT(B22,"m/d/yyyy"))&amp;" - "&amp;(TEXT(N25,"m/d/yyyy")&amp;"  ("&amp;(COUNT(B22,B25:AA25))&amp;" events)")),
IF(L25&gt;0,
(CONCATENATE(TEXT(B22,"m/d/yyyy"))&amp;" - "&amp;(TEXT(L25,"m/d/yyyy")&amp;"  ("&amp;(COUNT(B22,B25:AA25))&amp;" events)")),
IF(J25&gt;0,
(CONCATENATE(TEXT(B22,"m/d/yyyy"))&amp;" - "&amp;(TEXT(J25,"m/d/yyyy")&amp;"  ("&amp;(COUNT(B22,B25:AA25))&amp;" events)")),
IF(H25&gt;0,
(CONCATENATE(TEXT(B22,"m/d/yyyy"))&amp;" - "&amp;(TEXT(H25,"m/d/yyyy")&amp;"  ("&amp;(COUNT(B22,B25:AA25))&amp;" events)")),
IF(F25&gt;0,
(CONCATENATE(TEXT(B22,"m/d/yyyy"))&amp;" - "&amp;(TEXT(F25,"m/d/yyyy")&amp;"  ("&amp;(COUNT(B22,B25:AA25))&amp;" events)")),
IF(D25&gt;0,
(CONCATENATE(TEXT(B22,"m/d/yyyy"))&amp;" - "&amp;(TEXT(D25,"m/d/yyyy")&amp;"  ("&amp;(COUNT(B22,B25:AA25))&amp;" events)")),
IF(B25&gt;0,
(CONCATENATE(TEXT(B22,"m/d/yyyy"))&amp;" - "&amp;(TEXT(B25,"m/d/yyyy")&amp;"  ("&amp;(COUNT(B22,B25:AA25))&amp;" events)")),
(TEXT(B22,"m/d/yyyy"))))))))))))))))</f>
        <v>6/21/2016</v>
      </c>
      <c r="W2" s="368"/>
      <c r="X2" s="368"/>
      <c r="Y2" s="368"/>
      <c r="Z2" s="368"/>
      <c r="AA2" s="369"/>
      <c r="AB2" s="140"/>
    </row>
    <row r="3" spans="1:146" ht="12" customHeight="1">
      <c r="F3" s="510"/>
      <c r="G3" s="510"/>
      <c r="H3" s="510"/>
      <c r="I3" s="510"/>
      <c r="J3" s="510"/>
      <c r="K3" s="510"/>
      <c r="L3" s="511"/>
      <c r="M3" s="375" t="s">
        <v>148</v>
      </c>
      <c r="N3" s="376"/>
      <c r="O3" s="345" t="str">
        <f>IF(Y126=5,"UCLA purchase order",IF(Y126=4,"house account",IF(Y126=3,"credit card auth (attached)",IF(Y126=2,"credit card",IF(Y126=1,"approved check","")))))</f>
        <v>credit card</v>
      </c>
      <c r="P3" s="345"/>
      <c r="Q3" s="345"/>
      <c r="R3" s="345"/>
      <c r="S3" s="378" t="s">
        <v>373</v>
      </c>
      <c r="T3" s="378"/>
      <c r="U3" s="378"/>
      <c r="V3" s="345" t="str">
        <f>IF('FACT 1'!F19&gt;-1,(TEXT('FACT 1'!F19,"h:mm am/pm"))&amp;" to "&amp;(TEXT('FACT 1'!J19,"h:mm am/pm"))&amp;" ("&amp;Y22&amp;")","")</f>
        <v>12:30 PM to 3:30 PM (rotunda)</v>
      </c>
      <c r="W3" s="345"/>
      <c r="X3" s="345"/>
      <c r="Y3" s="345"/>
      <c r="Z3" s="345"/>
      <c r="AA3" s="370"/>
      <c r="AB3" s="141"/>
    </row>
    <row r="4" spans="1:146" ht="12" customHeight="1">
      <c r="F4" s="510"/>
      <c r="G4" s="510"/>
      <c r="H4" s="510"/>
      <c r="I4" s="510"/>
      <c r="J4" s="510"/>
      <c r="K4" s="510"/>
      <c r="L4" s="511"/>
      <c r="M4" s="377" t="s">
        <v>322</v>
      </c>
      <c r="N4" s="378"/>
      <c r="O4" s="345" t="str">
        <f>IF(J29&gt;0,"$"&amp;J29&amp;" (by "&amp;F29&amp;")","none")</f>
        <v>$150 (by credit card)</v>
      </c>
      <c r="P4" s="345"/>
      <c r="Q4" s="345"/>
      <c r="R4" s="345"/>
      <c r="S4" s="517" t="s">
        <v>372</v>
      </c>
      <c r="T4" s="517"/>
      <c r="U4" s="517"/>
      <c r="V4" s="345" t="str">
        <f>IF((COUNT(B22,B25:AA25))&gt;1,R29&amp;" (final 3 business days before Event)",R29&amp;"  (final 3 business days before Event)")</f>
        <v>18  (final 3 business days before Event)</v>
      </c>
      <c r="W4" s="345"/>
      <c r="X4" s="345"/>
      <c r="Y4" s="345"/>
      <c r="Z4" s="345"/>
      <c r="AA4" s="370"/>
      <c r="AB4" s="140"/>
    </row>
    <row r="5" spans="1:146" ht="12" customHeight="1">
      <c r="F5" s="510"/>
      <c r="G5" s="510"/>
      <c r="H5" s="510"/>
      <c r="I5" s="510"/>
      <c r="J5" s="510"/>
      <c r="K5" s="510"/>
      <c r="L5" s="511"/>
      <c r="M5" s="379" t="s">
        <v>323</v>
      </c>
      <c r="N5" s="380"/>
      <c r="O5" s="518" t="str">
        <f>IF(W29&gt;0,"$"&amp;W29&amp;" (+tax/service)","")</f>
        <v>$800 (+tax/service)</v>
      </c>
      <c r="P5" s="518"/>
      <c r="Q5" s="518"/>
      <c r="R5" s="518"/>
      <c r="S5" s="519" t="s">
        <v>374</v>
      </c>
      <c r="T5" s="519"/>
      <c r="U5" s="519"/>
      <c r="V5" s="371" t="str">
        <f>IF('FACT 1'!$V$22&gt;0,
IF('FACT 1'!$R$22&lt;0,"f: "&amp;'FACT 1'!$V$22&amp;"  |  b: none","f: "&amp;'FACT 1'!$V$22&amp;"  |  b: "&amp;'FACT 1'!$R$22), IF('FACT 1'!$R$22&lt;0,"f: none  |  b: none",
"f: none  |  b: "&amp;'FACT 1'!$R$22))</f>
        <v>f: plated  |  b: none</v>
      </c>
      <c r="W5" s="371"/>
      <c r="X5" s="371"/>
      <c r="Y5" s="371"/>
      <c r="Z5" s="371"/>
      <c r="AA5" s="372"/>
      <c r="AB5" s="140"/>
    </row>
    <row r="6" spans="1:146" ht="2" customHeight="1">
      <c r="A6" s="485"/>
      <c r="B6" s="485"/>
      <c r="C6" s="485"/>
      <c r="D6" s="485"/>
      <c r="E6" s="485"/>
      <c r="F6" s="485"/>
      <c r="G6" s="485"/>
      <c r="H6" s="485"/>
      <c r="I6" s="485"/>
      <c r="J6" s="485"/>
      <c r="K6" s="485"/>
      <c r="L6" s="485"/>
      <c r="M6" s="485"/>
      <c r="N6" s="485"/>
      <c r="O6" s="485"/>
      <c r="P6" s="485"/>
      <c r="Q6" s="485"/>
      <c r="R6" s="485"/>
      <c r="S6" s="485"/>
      <c r="T6" s="485"/>
      <c r="U6" s="485"/>
      <c r="V6" s="485"/>
      <c r="W6" s="485"/>
      <c r="X6" s="485"/>
      <c r="Y6" s="485"/>
      <c r="Z6" s="485"/>
      <c r="AA6" s="485"/>
      <c r="AB6" s="485"/>
    </row>
    <row r="7" spans="1:146" s="142" customFormat="1" ht="16" customHeight="1">
      <c r="B7" s="520" t="str">
        <f>IF((COUNT(B22,B25:AA25))&gt;1,(COUNT(B22,B25:AA25))&amp;" EVENT AGREEMENT","EVENT AGREEMENT")</f>
        <v>EVENT AGREEMENT</v>
      </c>
      <c r="C7" s="521"/>
      <c r="D7" s="521"/>
      <c r="E7" s="521"/>
      <c r="F7" s="521"/>
      <c r="G7" s="521"/>
      <c r="H7" s="521"/>
      <c r="I7" s="522" t="str">
        <f>IF(B22&gt;0,
IF(Z25&gt;0,
(CONCATENATE((TEXT($B$22,"DDDD"))&amp;", "&amp;(TEXT($B$22,"MMMM"))&amp;" "&amp;(TEXT($B$22,"d, yyyy"))))&amp;" - "&amp;(CONCATENATE((TEXT($Z$25,"DDDD"))&amp;", "&amp;(TEXT($Z$25,"MMMM"))&amp;" "&amp;(TEXT($Z$25,"d, yyyy")))),
IF(X25&gt;0,
(CONCATENATE((TEXT($B$22,"DDDD"))&amp;", "&amp;(TEXT($B$22,"MMMM"))&amp;" "&amp;(TEXT($B$22,"d, yyyy"))))&amp;" - "&amp;(CONCATENATE((TEXT($X$25,"DDDD"))&amp;", "&amp;(TEXT($X$25,"MMMM"))&amp;" "&amp;(TEXT($X$25,"d, yyyy")))),
IF(V25&gt;0,
(CONCATENATE((TEXT($B$22,"DDDD"))&amp;", "&amp;(TEXT($B$22,"MMMM"))&amp;" "&amp;(TEXT($B$22,"d, yyyy"))))&amp;" - "&amp;(CONCATENATE((TEXT($V$25,"DDDD"))&amp;", "&amp;(TEXT($V$25,"MMMM"))&amp;" "&amp;(TEXT($V$25,"d, yyyy, yyyy")))),
IF(T25&gt;0,
(CONCATENATE((TEXT($B$22,"DDDD"))&amp;", "&amp;(TEXT($B$22,"MMMM"))&amp;" "&amp;(TEXT($B$22,"d, yyyy"))))&amp;" - "&amp;(CONCATENATE((TEXT($T$25,"DDDD"))&amp;", "&amp;(TEXT($T$25,"MMMM"))&amp;" "&amp;(TEXT($T$25,"d, yyyy, yyyy")))),
IF(R25&gt;0,
(CONCATENATE((TEXT($B$22,"DDDD"))&amp;", "&amp;(TEXT($B$22,"MMMM"))&amp;" "&amp;(TEXT($B$22,"d, yyyy"))))&amp;" - "&amp;(CONCATENATE((TEXT($R$25,"DDDD"))&amp;", "&amp;(TEXT($R$25,"MMMM"))&amp;" "&amp;(TEXT($R$25,"d, yyyy, yyyy")))),
IF(P25&gt;0,
(CONCATENATE((TEXT($B$22,"DDDD"))&amp;", "&amp;(TEXT($B$22,"MMMM"))&amp;" "&amp;(TEXT($B$22,"d, yyyy"))))&amp;" - "&amp;(CONCATENATE((TEXT($P$25,"DDDD"))&amp;", "&amp;(TEXT($P$25,"MMMM"))&amp;" "&amp;(TEXT($P$25,"d, yyyy")))),
IF(N25&gt;0,
(CONCATENATE((TEXT($B$22,"DDDD"))&amp;", "&amp;(TEXT($B$22,"MMMM"))&amp;" "&amp;(TEXT($B$22,"d, yyyy"))))&amp;" - "&amp;(CONCATENATE((TEXT($N$25,"DDDD"))&amp;", "&amp;(TEXT($N$25,"MMMM"))&amp;" "&amp;(TEXT($N$25,"d, yyyy")))),
IF(L25&gt;0,
(CONCATENATE((TEXT($B$22,"DDDD"))&amp;", "&amp;(TEXT($B$22,"MMMM"))&amp;" "&amp;(TEXT($B$22,"d, yyyy"))))&amp;" - "&amp;(CONCATENATE((TEXT($L$25,"DDDD"))&amp;", "&amp;(TEXT($L$25,"MMMM"))&amp;" "&amp;(TEXT($L$25,"d, yyyy")))),
IF(J25&gt;0,
(CONCATENATE((TEXT($B$22,"DDDD"))&amp;", "&amp;(TEXT($B$22,"MMMM"))&amp;" "&amp;(TEXT($B$22,"d, yyyy"))))&amp;" - "&amp;(CONCATENATE((TEXT($J$25,"DDDD"))&amp;", "&amp;(TEXT($J$25,"MMMM"))&amp;" "&amp;(TEXT($J$25,"d, yyyy")))),
IF(H25&gt;0,
(CONCATENATE((TEXT($B$22,"DDDD"))&amp;", "&amp;(TEXT($B$22,"MMMM"))&amp;" "&amp;(TEXT($B$22,"d, yyyy"))))&amp;" - "&amp;(CONCATENATE((TEXT($H$25,"DDDD"))&amp;", "&amp;(TEXT($H$25,"MMMM"))&amp;" "&amp;(TEXT($H$25,"d, yyyy")))),
IF(F25&gt;0,
(CONCATENATE((TEXT($B$22,"DDDD"))&amp;", "&amp;(TEXT($B$22,"MMMM"))&amp;" "&amp;(TEXT($B$22,"d, yyyy"))))&amp;" - "&amp;(CONCATENATE((TEXT($F$25,"DDDD"))&amp;", "&amp;(TEXT($F$25,"MMMM"))&amp;" "&amp;(TEXT($F$25,"d, yyyy")))),
IF(D25&gt;0,
(CONCATENATE((TEXT($B$22,"DDDD"))&amp;", "&amp;(TEXT($B$22,"MMMM"))&amp;" "&amp;(TEXT($B$22,"d, yyyy"))))&amp;" - "&amp;(CONCATENATE((TEXT($D$25,"DDDD"))&amp;", "&amp;(TEXT($D$25,"MMMM"))&amp;" "&amp;(TEXT($D$25,"d, yyyy")))),
IF(B25&gt;0,
(CONCATENATE((TEXT($B$22,"DDDD"))&amp;", "&amp;(TEXT($B$22,"MMMM"))&amp;" "&amp;(TEXT($B$22,"d, yyyy"))))&amp;" - "&amp;(CONCATENATE((TEXT($B$25,"DDDD"))&amp;", "&amp;(TEXT($B$25,"MMMM"))&amp;" "&amp;(TEXT($B$25,"d")))),
(CONCATENATE((TEXT($B$22,"DDDD"))&amp;", "&amp;(TEXT($B$22,"MMMM"))&amp;" "&amp;(TEXT($B$22,"d, yyyy"))))))))))))))))))</f>
        <v>Tuesday, June 21, 2016</v>
      </c>
      <c r="J7" s="522"/>
      <c r="K7" s="522"/>
      <c r="L7" s="522"/>
      <c r="M7" s="522"/>
      <c r="N7" s="522"/>
      <c r="O7" s="522"/>
      <c r="P7" s="522"/>
      <c r="Q7" s="522"/>
      <c r="R7" s="522"/>
      <c r="S7" s="522"/>
      <c r="T7" s="522"/>
      <c r="U7" s="522"/>
      <c r="V7" s="522"/>
      <c r="W7" s="522"/>
      <c r="X7" s="522"/>
      <c r="Y7" s="522"/>
      <c r="Z7" s="522"/>
      <c r="AA7" s="523"/>
      <c r="AC7"/>
      <c r="AD7"/>
      <c r="AE7"/>
      <c r="AF7"/>
      <c r="AG7"/>
      <c r="AH7"/>
      <c r="AI7"/>
      <c r="AJ7"/>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row>
    <row r="8" spans="1:146" ht="2" customHeight="1">
      <c r="A8" s="17"/>
      <c r="B8" s="17"/>
      <c r="C8" s="17"/>
      <c r="D8" s="17"/>
      <c r="E8" s="17"/>
      <c r="F8" s="17"/>
      <c r="G8" s="17"/>
      <c r="H8" s="17"/>
      <c r="I8" s="17"/>
      <c r="J8" s="17"/>
      <c r="K8" s="17"/>
      <c r="L8" s="17"/>
      <c r="M8" s="17"/>
      <c r="N8" s="17"/>
      <c r="O8" s="17"/>
      <c r="P8" s="17"/>
      <c r="Q8" s="17"/>
      <c r="R8" s="17"/>
      <c r="S8" s="334"/>
      <c r="T8" s="334"/>
      <c r="U8" s="334"/>
      <c r="V8" s="334"/>
      <c r="W8" s="334"/>
      <c r="X8" s="334"/>
      <c r="Y8" s="334"/>
      <c r="Z8" s="334"/>
      <c r="AA8" s="335"/>
      <c r="AB8" s="95"/>
    </row>
    <row r="9" spans="1:146" s="9" customFormat="1" ht="18" customHeight="1">
      <c r="A9" s="144"/>
      <c r="B9" s="478" t="str">
        <f ca="1">IF((COUNT(B22,B25:AA25))&gt;1,IF(D14&gt;0,
("This Event Series Agreement (“Agreement”) made and entered on "&amp;TEXT(TODAY(),"mmmm")&amp;" "&amp;TEXT(TODAY(),"d")&amp;", "&amp;TEXT(TODAY(),"yyyy")&amp;
", between Skylight Gardens (“Vendor”) and "&amp;D14&amp;" (“Host”) "&amp;
"for the following "&amp;COUNT(B22,B25:AA25)&amp;" Events (“Event”) hosted between "&amp;IF(B22&gt;0,
IF(Z25&gt;0,(CONCATENATE(TEXT(B22,"m/d/yy"))&amp;"-"&amp;(TEXT(Z25,"m/d/yy"))),
IF(X25&gt;0,(CONCATENATE(TEXT(B22,"m/d/yyyy"))&amp;"-"&amp;(TEXT(X25,"m/d/yyyy"))),
IF(V25&gt;0,(CONCATENATE(TEXT(B22,"m/d/yyyy"))&amp;"-"&amp;(TEXT(V25,"m/d/yyyy"))),
IF(T25&gt;0,(CONCATENATE(TEXT(B22,"m/d/yyyy"))&amp;"-"&amp;(TEXT(T25,"m/d/yyyy"))),
IF(R25&gt;0,(CONCATENATE(TEXT(B22,"m/d/yyyy"))&amp;"-"&amp;(TEXT(R25,"m/d/yyyy"))),
IF(P25&gt;0,(CONCATENATE(TEXT(B22,"m/d/yyyy"))&amp;"-"&amp;(TEXT(P25,"m/d/yyyy"))),
IF(N25&gt;0,(CONCATENATE(TEXT(B22,"m/d/yyyy"))&amp;"-"&amp;(TEXT(N25,"m/d/yyyy"))),
IF(L25&gt;0,(CONCATENATE(TEXT(B22,"m/d/yyyy"))&amp;"-"&amp;(TEXT(L25,"m/d/yyyy"))),
IF(J25&gt;0,(CONCATENATE(TEXT(B22,"m/d/yyyy"))&amp;"-"&amp;(TEXT(J25,"m/d/yyyy"))),
IF(H25&gt;0,(CONCATENATE(TEXT(B22,"m/d/yyyy"))&amp;"-"&amp;(TEXT(H25,"m/d/yyyy"))),
IF(F25&gt;0,(CONCATENATE(TEXT(B22,"m/d/yyyy"))&amp;"-"&amp;(TEXT(F25,"m/d/yyyy"))),
IF(D25&gt;0,(CONCATENATE(TEXT(B22,"m/d/yyyy"))&amp;"-"&amp;(TEXT(D25,"m/d/yyyy"))),
IF(B25&gt;0,(CONCATENATE(TEXT(B22,"m/d/yyyy"))&amp;"-"&amp;(TEXT(B25,"m/d/yyyy"))),(TEXT(B22,"m/d/yyyy"))))))))))))))))&amp;" at Skylight Gardens, 1139 Glendon Avenue, Los Angeles, California 90024."),
("This Event Series Agreement (“Agreement”) made and entered on "&amp;TEXT(TODAY(),"mmmm")&amp;" "&amp;TEXT(TODAY(),"d")&amp;", "&amp;TEXT(TODAY(),"yyyy")&amp;
", between Skylight Gardens (“Vendor”) and "&amp;Q13&amp;" (“Host”) "&amp;"for the following "&amp;COUNT(B22,B25:AA25)&amp;" Events (“Event”) hosted between "&amp;IF(B22&gt;0,
IF(Z25&gt;0,(CONCATENATE(TEXT(B22,"m/d/yy"))&amp;"-"&amp;(TEXT(Z25,"m/d/yy"))),
IF(X25&gt;0,(CONCATENATE(TEXT(B22,"m/d/yyyy"))&amp;"-"&amp;(TEXT(X25,"m/d/yyyy"))),
IF(V25&gt;0,(CONCATENATE(TEXT(B22,"m/d/yyyy"))&amp;"-"&amp;(TEXT(V25,"m/d/yyyy"))),
IF(T25&gt;0,(CONCATENATE(TEXT(B22,"m/d/yyyy"))&amp;"-"&amp;(TEXT(T25,"m/d/yyyy"))),
IF(R25&gt;0,(CONCATENATE(TEXT(B22,"m/d/yyyy"))&amp;"-"&amp;(TEXT(R25,"m/d/yyyy"))),
IF(P25&gt;0,(CONCATENATE(TEXT(B22,"m/d/yyyy"))&amp;"-"&amp;(TEXT(P25,"m/d/yyyy"))),
IF(N25&gt;0,(CONCATENATE(TEXT(B22,"m/d/yyyy"))&amp;"-"&amp;(TEXT(N25,"m/d/yyyy"))),
IF(L25&gt;0,(CONCATENATE(TEXT(B22,"m/d/yyyy"))&amp;"-"&amp;(TEXT(L25,"m/d/yyyy"))),
IF(J25&gt;0,(CONCATENATE(TEXT(B22,"m/d/yyyy"))&amp;"-"&amp;(TEXT(J25,"m/d/yyyy"))),
IF(H25&gt;0,(CONCATENATE(TEXT(B22,"m/d/yyyy"))&amp;"-"&amp;(TEXT(H25,"m/d/yyyy"))),
IF(F25&gt;0,(CONCATENATE(TEXT(B22,"m/d/yyyy"))&amp;"-"&amp;(TEXT(F25,"m/d/yyyy"))),
IF(D25&gt;0,(CONCATENATE(TEXT(B22,"m/d/yyyy"))&amp;"-"&amp;(TEXT(D25,"m/d/yyyy"))),
IF(B25&gt;0,(CONCATENATE(TEXT(B22,"m/d/yyyy"))&amp;"-"&amp;(TEXT(B25,"m/d/yyyy"))),(TEXT(B22,"m/d/yyyy"))))))))))))))))&amp;" at Skylight Gardens, 1139 Glendon Avenue, Los Angeles, California 90024.")),IF(D14&gt;0,("This Event Agreement (“Agreement”) made and entered on "&amp;TEXT(TODAY(),"mmmm")&amp;" "&amp;TEXT(TODAY(),"d")&amp;", "&amp;TEXT(TODAY(),"yyyy")&amp;", between Skylight Gardens (“Vendor”) and "&amp;D14&amp;" (“Host”) "&amp;"for the following Event (“Event”) on "&amp;(TEXT(B22,"mmmm"))&amp;" "&amp;(TEXT(B22,"d"))&amp;", "&amp;(TEXT(B22,"yyyy"))&amp;" at Skylight Gardens, 1139 Glendon Avenue, Los Angeles, California 90024."),("This Event Agreement (“Agreement”) made and entered on "&amp;TEXT(TODAY(),"mmmm")&amp;" "&amp;TEXT(TODAY(),"d")&amp;", "&amp;TEXT(TODAY(),"yyyy")&amp;", between Skylight Gardens (“Vendor”) and "&amp;Q13&amp;" (“Host”) "&amp;"for the following Event (“Event”) on "&amp;(TEXT(B22,"mmmm"))&amp;" "&amp;(TEXT(B22,"d"))&amp;", "&amp;(TEXT(B22,"yyyy"))&amp;" at Skylight Gardens, 1139 Glendon Avenue, Los Angeles, California 90024.")))</f>
        <v>This Event Agreement (“Agreement”) made and entered on June 11, 2017, between Skylight Gardens (“Vendor”) and  (“Host”) for the following Event (“Event”) on June 21, 2016 at Skylight Gardens, 1139 Glendon Avenue, Los Angeles, California 90024.</v>
      </c>
      <c r="C9" s="479"/>
      <c r="D9" s="479"/>
      <c r="E9" s="479"/>
      <c r="F9" s="479"/>
      <c r="G9" s="479"/>
      <c r="H9" s="479"/>
      <c r="I9" s="479"/>
      <c r="J9" s="479"/>
      <c r="K9" s="479"/>
      <c r="L9" s="479"/>
      <c r="M9" s="479"/>
      <c r="N9" s="480"/>
      <c r="O9" s="479"/>
      <c r="P9" s="479"/>
      <c r="Q9" s="479"/>
      <c r="R9" s="479"/>
      <c r="S9" s="479"/>
      <c r="T9" s="479"/>
      <c r="U9" s="479"/>
      <c r="V9" s="479"/>
      <c r="W9" s="479"/>
      <c r="X9" s="479"/>
      <c r="Y9" s="479"/>
      <c r="Z9" s="479"/>
      <c r="AA9" s="481"/>
      <c r="AB9" s="82"/>
      <c r="AC9"/>
      <c r="AD9"/>
      <c r="AE9"/>
      <c r="AF9"/>
      <c r="AG9"/>
      <c r="AH9"/>
      <c r="AI9"/>
      <c r="AJ9"/>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row>
    <row r="10" spans="1:146" ht="19" customHeight="1">
      <c r="A10" s="93"/>
      <c r="B10" s="482"/>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4"/>
      <c r="AB10" s="95"/>
    </row>
    <row r="11" spans="1:146" ht="2" customHeight="1">
      <c r="A11" s="338"/>
      <c r="B11" s="339"/>
      <c r="C11" s="339"/>
      <c r="D11" s="339"/>
      <c r="E11" s="339"/>
      <c r="F11" s="339"/>
      <c r="G11" s="339"/>
      <c r="H11" s="339"/>
      <c r="I11" s="339"/>
      <c r="J11" s="339"/>
      <c r="K11" s="339"/>
      <c r="L11" s="339"/>
      <c r="M11" s="339"/>
      <c r="N11" s="339"/>
      <c r="O11" s="339"/>
      <c r="P11" s="339"/>
      <c r="Q11" s="339"/>
      <c r="R11" s="339"/>
      <c r="S11" s="339"/>
      <c r="T11" s="339"/>
      <c r="U11" s="339"/>
      <c r="V11" s="339"/>
      <c r="W11" s="339"/>
      <c r="X11" s="339"/>
      <c r="Y11" s="339"/>
      <c r="Z11" s="338"/>
      <c r="AA11" s="338"/>
      <c r="AB11" s="95"/>
    </row>
    <row r="12" spans="1:146" s="146" customFormat="1" ht="16" customHeight="1" thickBot="1">
      <c r="A12" s="145"/>
      <c r="B12" s="344" t="s">
        <v>211</v>
      </c>
      <c r="C12" s="344"/>
      <c r="D12" s="344"/>
      <c r="E12" s="344"/>
      <c r="F12" s="344"/>
      <c r="G12" s="344"/>
      <c r="H12" s="344"/>
      <c r="I12" s="344"/>
      <c r="J12" s="344"/>
      <c r="K12" s="344"/>
      <c r="L12" s="344"/>
      <c r="M12" s="344"/>
      <c r="N12" s="344"/>
      <c r="O12" s="344" t="s">
        <v>329</v>
      </c>
      <c r="P12" s="344"/>
      <c r="Q12" s="344"/>
      <c r="R12" s="344"/>
      <c r="S12" s="344"/>
      <c r="T12" s="344"/>
      <c r="U12" s="344"/>
      <c r="V12" s="344"/>
      <c r="W12" s="344"/>
      <c r="X12" s="344"/>
      <c r="Y12" s="344"/>
      <c r="Z12" s="344"/>
      <c r="AA12" s="344"/>
      <c r="AC12"/>
      <c r="AD12"/>
      <c r="AE12"/>
      <c r="AF12"/>
      <c r="AG12"/>
      <c r="AH12"/>
      <c r="AI12"/>
      <c r="AJ12"/>
    </row>
    <row r="13" spans="1:146" s="28" customFormat="1" ht="15" customHeight="1" thickTop="1">
      <c r="A13" s="476" t="s">
        <v>81</v>
      </c>
      <c r="B13" s="476"/>
      <c r="C13" s="477"/>
      <c r="D13" s="467"/>
      <c r="E13" s="468"/>
      <c r="F13" s="468"/>
      <c r="G13" s="468"/>
      <c r="H13" s="468"/>
      <c r="I13" s="468"/>
      <c r="J13" s="468"/>
      <c r="K13" s="468"/>
      <c r="L13" s="468"/>
      <c r="M13" s="468"/>
      <c r="N13" s="468"/>
      <c r="O13" s="474" t="s">
        <v>6</v>
      </c>
      <c r="P13" s="475"/>
      <c r="Q13" s="467"/>
      <c r="R13" s="468"/>
      <c r="S13" s="468"/>
      <c r="T13" s="468"/>
      <c r="U13" s="468"/>
      <c r="V13" s="468"/>
      <c r="W13" s="468"/>
      <c r="X13" s="468"/>
      <c r="Y13" s="468"/>
      <c r="Z13" s="468"/>
      <c r="AA13" s="468"/>
      <c r="AC13"/>
      <c r="AD13"/>
      <c r="AE13"/>
      <c r="AF13"/>
      <c r="AG13"/>
      <c r="AH13"/>
      <c r="AI13"/>
      <c r="AJ1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row>
    <row r="14" spans="1:146" s="28" customFormat="1" ht="15" customHeight="1">
      <c r="A14" s="66"/>
      <c r="B14" s="353" t="s">
        <v>166</v>
      </c>
      <c r="C14" s="353"/>
      <c r="D14" s="355"/>
      <c r="E14" s="356"/>
      <c r="F14" s="356"/>
      <c r="G14" s="356"/>
      <c r="H14" s="356"/>
      <c r="I14" s="356"/>
      <c r="J14" s="356"/>
      <c r="K14" s="356"/>
      <c r="L14" s="356"/>
      <c r="M14" s="356"/>
      <c r="N14" s="356"/>
      <c r="O14" s="432" t="s">
        <v>224</v>
      </c>
      <c r="P14" s="433"/>
      <c r="Q14" s="355"/>
      <c r="R14" s="356"/>
      <c r="S14" s="356"/>
      <c r="T14" s="356"/>
      <c r="U14" s="356"/>
      <c r="V14" s="356"/>
      <c r="W14" s="356"/>
      <c r="X14" s="356"/>
      <c r="Y14" s="356"/>
      <c r="Z14" s="356"/>
      <c r="AA14" s="356"/>
      <c r="AC14"/>
      <c r="AD14"/>
      <c r="AE14"/>
      <c r="AF14"/>
      <c r="AG14"/>
      <c r="AH14"/>
      <c r="AI14"/>
      <c r="AJ14"/>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row>
    <row r="15" spans="1:146" s="28" customFormat="1" ht="15" customHeight="1">
      <c r="A15" s="66"/>
      <c r="B15" s="353" t="s">
        <v>1</v>
      </c>
      <c r="C15" s="353"/>
      <c r="D15" s="355"/>
      <c r="E15" s="356"/>
      <c r="F15" s="356"/>
      <c r="G15" s="356"/>
      <c r="H15" s="356"/>
      <c r="I15" s="356"/>
      <c r="J15" s="356"/>
      <c r="K15" s="356"/>
      <c r="L15" s="356"/>
      <c r="M15" s="356"/>
      <c r="N15" s="356"/>
      <c r="O15" s="432" t="s">
        <v>84</v>
      </c>
      <c r="P15" s="433"/>
      <c r="Q15" s="469"/>
      <c r="R15" s="470"/>
      <c r="S15" s="470"/>
      <c r="T15" s="470"/>
      <c r="U15" s="470"/>
      <c r="V15" s="470"/>
      <c r="W15" s="470"/>
      <c r="X15" s="470"/>
      <c r="Y15" s="470"/>
      <c r="Z15" s="470"/>
      <c r="AA15" s="470"/>
      <c r="AC15"/>
      <c r="AD15"/>
      <c r="AE15"/>
      <c r="AF15"/>
      <c r="AG15"/>
      <c r="AH15"/>
      <c r="AI15"/>
      <c r="AJ15"/>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row>
    <row r="16" spans="1:146" s="28" customFormat="1" ht="15" customHeight="1">
      <c r="A16" s="66"/>
      <c r="B16" s="353" t="s">
        <v>1</v>
      </c>
      <c r="C16" s="353"/>
      <c r="D16" s="355"/>
      <c r="E16" s="356"/>
      <c r="F16" s="356"/>
      <c r="G16" s="356"/>
      <c r="H16" s="356"/>
      <c r="I16" s="356"/>
      <c r="J16" s="356"/>
      <c r="K16" s="356"/>
      <c r="L16" s="356"/>
      <c r="M16" s="356"/>
      <c r="N16" s="356"/>
      <c r="O16" s="353" t="s">
        <v>5</v>
      </c>
      <c r="P16" s="354"/>
      <c r="Q16" s="355"/>
      <c r="R16" s="356"/>
      <c r="S16" s="356"/>
      <c r="T16" s="356"/>
      <c r="U16" s="356"/>
      <c r="V16" s="356"/>
      <c r="W16" s="356"/>
      <c r="X16" s="356"/>
      <c r="Y16" s="356"/>
      <c r="Z16" s="356"/>
      <c r="AA16" s="356"/>
      <c r="AC16" s="333"/>
      <c r="AD16"/>
      <c r="AE16"/>
      <c r="AF16"/>
      <c r="AG16"/>
      <c r="AH16"/>
      <c r="AI16"/>
      <c r="AJ16"/>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row>
    <row r="17" spans="1:146" s="28" customFormat="1" ht="15" customHeight="1">
      <c r="A17" s="66"/>
      <c r="B17" s="353" t="s">
        <v>37</v>
      </c>
      <c r="C17" s="353"/>
      <c r="D17" s="355"/>
      <c r="E17" s="356"/>
      <c r="F17" s="356"/>
      <c r="G17" s="356"/>
      <c r="H17" s="356"/>
      <c r="I17" s="356"/>
      <c r="J17" s="356"/>
      <c r="K17" s="356"/>
      <c r="L17" s="356"/>
      <c r="M17" s="356"/>
      <c r="N17" s="356"/>
      <c r="O17" s="432" t="s">
        <v>224</v>
      </c>
      <c r="P17" s="433"/>
      <c r="Q17" s="355"/>
      <c r="R17" s="356"/>
      <c r="S17" s="356"/>
      <c r="T17" s="356"/>
      <c r="U17" s="356"/>
      <c r="V17" s="356"/>
      <c r="W17" s="356"/>
      <c r="X17" s="356"/>
      <c r="Y17" s="356"/>
      <c r="Z17" s="356"/>
      <c r="AA17" s="356"/>
      <c r="AC17"/>
      <c r="AD17"/>
      <c r="AE17"/>
      <c r="AF17"/>
      <c r="AG17"/>
      <c r="AH17"/>
      <c r="AI17"/>
      <c r="AJ17"/>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row>
    <row r="18" spans="1:146" s="28" customFormat="1" ht="15" customHeight="1">
      <c r="A18" s="66"/>
      <c r="B18" s="353" t="s">
        <v>61</v>
      </c>
      <c r="C18" s="353"/>
      <c r="D18" s="355"/>
      <c r="E18" s="356"/>
      <c r="F18" s="356"/>
      <c r="G18" s="356"/>
      <c r="H18" s="356"/>
      <c r="I18" s="356"/>
      <c r="J18" s="356"/>
      <c r="K18" s="356"/>
      <c r="L18" s="356"/>
      <c r="M18" s="356"/>
      <c r="N18" s="356"/>
      <c r="O18" s="432" t="s">
        <v>84</v>
      </c>
      <c r="P18" s="433"/>
      <c r="Q18" s="355"/>
      <c r="R18" s="356"/>
      <c r="S18" s="356"/>
      <c r="T18" s="356"/>
      <c r="U18" s="356"/>
      <c r="V18" s="356"/>
      <c r="W18" s="356"/>
      <c r="X18" s="356"/>
      <c r="Y18" s="356"/>
      <c r="Z18" s="356"/>
      <c r="AA18" s="356"/>
      <c r="AC18"/>
      <c r="AD18"/>
      <c r="AE18"/>
      <c r="AF18"/>
      <c r="AG18"/>
      <c r="AH18"/>
      <c r="AI18"/>
      <c r="AJ18"/>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row>
    <row r="19" spans="1:146" ht="2" customHeight="1">
      <c r="A19" s="485"/>
      <c r="B19" s="485"/>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row>
    <row r="20" spans="1:146" s="9" customFormat="1" ht="16" customHeight="1" thickBot="1">
      <c r="A20" s="87"/>
      <c r="B20" s="344" t="s">
        <v>17</v>
      </c>
      <c r="C20" s="344"/>
      <c r="D20" s="344"/>
      <c r="E20" s="344"/>
      <c r="F20" s="434"/>
      <c r="G20" s="434"/>
      <c r="H20" s="434"/>
      <c r="I20" s="434"/>
      <c r="J20" s="434"/>
      <c r="K20" s="434"/>
      <c r="L20" s="434"/>
      <c r="M20" s="434"/>
      <c r="N20" s="434"/>
      <c r="O20" s="434"/>
      <c r="P20" s="434"/>
      <c r="Q20" s="434"/>
      <c r="R20" s="434"/>
      <c r="S20" s="434"/>
      <c r="T20" s="434"/>
      <c r="U20" s="434"/>
      <c r="V20" s="434"/>
      <c r="W20" s="434"/>
      <c r="X20" s="434"/>
      <c r="Y20" s="434"/>
      <c r="Z20" s="434"/>
      <c r="AA20" s="434"/>
      <c r="AB20" s="88"/>
      <c r="AC20"/>
      <c r="AD20"/>
      <c r="AE20"/>
      <c r="AF20"/>
      <c r="AG20"/>
      <c r="AH20"/>
      <c r="AI20"/>
      <c r="AJ20"/>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row>
    <row r="21" spans="1:146" s="82" customFormat="1" ht="15" customHeight="1" thickTop="1">
      <c r="B21" s="473" t="s">
        <v>283</v>
      </c>
      <c r="C21" s="473"/>
      <c r="D21" s="392" t="s">
        <v>225</v>
      </c>
      <c r="E21" s="392"/>
      <c r="F21" s="392" t="s">
        <v>226</v>
      </c>
      <c r="G21" s="392"/>
      <c r="H21" s="392" t="s">
        <v>227</v>
      </c>
      <c r="I21" s="392"/>
      <c r="J21" s="357" t="s">
        <v>119</v>
      </c>
      <c r="K21" s="357"/>
      <c r="L21" s="357"/>
      <c r="M21" s="357" t="s">
        <v>233</v>
      </c>
      <c r="N21" s="357"/>
      <c r="O21" s="357"/>
      <c r="P21" s="359" t="s">
        <v>198</v>
      </c>
      <c r="Q21" s="359"/>
      <c r="R21" s="359"/>
      <c r="S21" s="357" t="s">
        <v>63</v>
      </c>
      <c r="T21" s="357"/>
      <c r="U21" s="357"/>
      <c r="V21" s="357" t="s">
        <v>62</v>
      </c>
      <c r="W21" s="357"/>
      <c r="X21" s="357"/>
      <c r="Y21" s="502" t="s">
        <v>96</v>
      </c>
      <c r="Z21" s="503"/>
      <c r="AA21" s="504"/>
      <c r="AB21" s="144"/>
      <c r="AC21"/>
      <c r="AD21"/>
      <c r="AE21"/>
      <c r="AF21"/>
      <c r="AG21"/>
      <c r="AH21"/>
      <c r="AI21"/>
      <c r="AJ2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row>
    <row r="22" spans="1:146" s="147" customFormat="1" ht="15" customHeight="1">
      <c r="B22" s="472">
        <v>42542</v>
      </c>
      <c r="C22" s="472"/>
      <c r="D22" s="352">
        <v>0.52083333333333337</v>
      </c>
      <c r="E22" s="352"/>
      <c r="F22" s="352">
        <v>0.64583333333333337</v>
      </c>
      <c r="G22" s="352"/>
      <c r="H22" s="352">
        <v>0.4375</v>
      </c>
      <c r="I22" s="352"/>
      <c r="J22" s="507" t="str">
        <f>IF(P145=1,D136,IF(P145=2,D137,""))</f>
        <v>semi-private</v>
      </c>
      <c r="K22" s="508"/>
      <c r="L22" s="509"/>
      <c r="M22" s="458" t="str">
        <f>IF('FACT 1'!Q102=1,'FACT 1'!E93,IF('FACT 1'!Q102=2,'FACT 1'!E94,IF('FACT 1'!Q102=3,'FACT 1'!E95,IF('FACT 1'!Q102=4,'FACT 1'!E96,IF('FACT 1'!Q102=5,'FACT 1'!E97,IF('FACT 1'!Q102=6,'FACT 1'!E98,IF('FACT 1'!Q102=7,'FACT 1'!E99,IF('FACT 1'!Q102=8,'FACT 1'!E100,IF('FACT 1'!Q102=9,'FACT 1'!E101,"")))))))))</f>
        <v>casual</v>
      </c>
      <c r="N22" s="459"/>
      <c r="O22" s="460"/>
      <c r="P22" s="360" t="str">
        <f>IF(Q138=1,"guest valet",IF(Q138=2,"hosted valet",IF(Q138=3,"self-parking",IF(Q138=4,"undecided"))))</f>
        <v>undecided</v>
      </c>
      <c r="Q22" s="360"/>
      <c r="R22" s="360"/>
      <c r="S22" s="358" t="str">
        <f>IF('FACT 1'!T102=1,'FACT 1'!D93,IF('FACT 1'!T102=2,'FACT 1'!D94,IF('FACT 1'!T102=3,'FACT 1'!D95,IF('FACT 1'!T102=4,'FACT 1'!D96,IF('FACT 1'!T102=5,'FACT 1'!D97,IF('FACT 1'!T102=6,'FACT 1'!D98,IF('FACT 1'!T102=7,'FACT 1'!D99,IF('FACT 1'!T102=8,'FACT 1'!D100,IF('FACT 1'!T102=9,'FACT 1'!D101,IF('FACT 1'!T102=10,'FACT 1'!D102,IF('FACT 1'!T102=11,'FACT 1'!D103,IF('FACT 1'!T102=12,'FACT 1'!D104,IF('FACT 1'!T102=13,'FACT 1'!D105,"")))))))))))))</f>
        <v>none</v>
      </c>
      <c r="T22" s="358"/>
      <c r="U22" s="358"/>
      <c r="V22" s="358" t="str">
        <f>IF('FACT 1'!W102=1,'FACT 1'!B93,IF('FACT 1'!W102=2,'FACT 1'!B94,IF('FACT 1'!W102=3,'FACT 1'!B95,IF('FACT 1'!W102=4,'FACT 1'!B96,IF('FACT 1'!W102=5,'FACT 1'!B97,IF('FACT 1'!W102=6,'FACT 1'!B98,IF('FACT 1'!W102=7,'FACT 1'!B99,"")))))))</f>
        <v>plated</v>
      </c>
      <c r="W22" s="358"/>
      <c r="X22" s="358"/>
      <c r="Y22" s="458" t="str">
        <f>IF('FACT 1'!AB102=1,'FACT 1'!T92,IF('FACT 1'!AB102=2,'FACT 1'!T93,IF('FACT 1'!AB102=3,'FACT 1'!T94,IF('FACT 1'!AB102=4,'FACT 1'!T95,IF('FACT 1'!AB102=5,'FACT 1'!T96,IF('FACT 1'!AB102=6,'FACT 1'!T97,IF('FACT 1'!AB102=7,'FACT 1'!T98,IF('FACT 1'!AB102=8,'FACT 1'!T99,IF('FACT 1'!AB102=9,'FACT 1'!T100,"")))))))))</f>
        <v>rotunda</v>
      </c>
      <c r="Z22" s="459"/>
      <c r="AA22" s="460"/>
      <c r="AB22" s="148"/>
      <c r="AC22"/>
      <c r="AD22"/>
      <c r="AE22"/>
      <c r="AF22"/>
      <c r="AG22"/>
      <c r="AH22"/>
      <c r="AI22"/>
      <c r="AJ22"/>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row>
    <row r="23" spans="1:146" ht="2" customHeight="1">
      <c r="B23" s="500"/>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row>
    <row r="24" spans="1:146" s="95" customFormat="1" ht="15" customHeight="1">
      <c r="B24" s="336" t="s">
        <v>213</v>
      </c>
      <c r="C24" s="337"/>
      <c r="D24" s="336" t="s">
        <v>214</v>
      </c>
      <c r="E24" s="337"/>
      <c r="F24" s="336" t="s">
        <v>215</v>
      </c>
      <c r="G24" s="337"/>
      <c r="H24" s="336" t="s">
        <v>216</v>
      </c>
      <c r="I24" s="337"/>
      <c r="J24" s="336" t="s">
        <v>217</v>
      </c>
      <c r="K24" s="337"/>
      <c r="L24" s="336" t="s">
        <v>218</v>
      </c>
      <c r="M24" s="337"/>
      <c r="N24" s="336" t="s">
        <v>219</v>
      </c>
      <c r="O24" s="337"/>
      <c r="P24" s="336" t="s">
        <v>220</v>
      </c>
      <c r="Q24" s="337"/>
      <c r="R24" s="336" t="s">
        <v>221</v>
      </c>
      <c r="S24" s="337"/>
      <c r="T24" s="336" t="s">
        <v>222</v>
      </c>
      <c r="U24" s="337"/>
      <c r="V24" s="336" t="s">
        <v>223</v>
      </c>
      <c r="W24" s="337"/>
      <c r="X24" s="336" t="s">
        <v>234</v>
      </c>
      <c r="Y24" s="337"/>
      <c r="Z24" s="336" t="s">
        <v>235</v>
      </c>
      <c r="AA24" s="337"/>
      <c r="AB24" s="93"/>
      <c r="AC24"/>
      <c r="AD24"/>
      <c r="AE24"/>
      <c r="AF24"/>
      <c r="AG24"/>
      <c r="AH24"/>
      <c r="AI24"/>
      <c r="AJ24"/>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row>
    <row r="25" spans="1:146" s="58" customFormat="1" ht="15" customHeight="1">
      <c r="B25" s="341"/>
      <c r="C25" s="342"/>
      <c r="D25" s="341"/>
      <c r="E25" s="342"/>
      <c r="F25" s="341"/>
      <c r="G25" s="342"/>
      <c r="H25" s="341"/>
      <c r="I25" s="342"/>
      <c r="J25" s="341"/>
      <c r="K25" s="342"/>
      <c r="L25" s="341"/>
      <c r="M25" s="342"/>
      <c r="N25" s="341"/>
      <c r="O25" s="342"/>
      <c r="P25" s="341"/>
      <c r="Q25" s="342"/>
      <c r="R25" s="341"/>
      <c r="S25" s="342"/>
      <c r="T25" s="341"/>
      <c r="U25" s="342"/>
      <c r="V25" s="341"/>
      <c r="W25" s="342"/>
      <c r="X25" s="341"/>
      <c r="Y25" s="342"/>
      <c r="Z25" s="341"/>
      <c r="AA25" s="342"/>
      <c r="AB25" s="124"/>
      <c r="AC25"/>
      <c r="AD25"/>
      <c r="AE25"/>
      <c r="AF25"/>
      <c r="AG25"/>
      <c r="AH25"/>
      <c r="AI25"/>
      <c r="AJ25"/>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row>
    <row r="26" spans="1:146" s="58" customFormat="1" ht="2" customHeight="1">
      <c r="A26" s="466"/>
      <c r="B26" s="471"/>
      <c r="C26" s="466"/>
      <c r="D26" s="466"/>
      <c r="E26" s="466"/>
      <c r="F26" s="466"/>
      <c r="G26" s="466"/>
      <c r="H26" s="466"/>
      <c r="I26" s="466"/>
      <c r="J26" s="466"/>
      <c r="K26" s="466"/>
      <c r="L26" s="466"/>
      <c r="M26" s="466"/>
      <c r="N26" s="466"/>
      <c r="O26" s="466"/>
      <c r="P26" s="466"/>
      <c r="Q26" s="466"/>
      <c r="R26" s="466"/>
      <c r="S26" s="466"/>
      <c r="T26" s="466"/>
      <c r="U26" s="466"/>
      <c r="V26" s="466"/>
      <c r="W26" s="466"/>
      <c r="X26" s="466"/>
      <c r="Y26" s="466"/>
      <c r="Z26" s="466"/>
      <c r="AA26" s="466"/>
      <c r="AB26" s="10"/>
      <c r="AC26"/>
      <c r="AD26"/>
      <c r="AE26"/>
      <c r="AF26"/>
      <c r="AG26"/>
      <c r="AH26"/>
      <c r="AI26"/>
      <c r="AJ26"/>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row>
    <row r="27" spans="1:146" s="83" customFormat="1" ht="16" customHeight="1" thickBot="1">
      <c r="A27" s="87"/>
      <c r="B27" s="343" t="s">
        <v>206</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9"/>
      <c r="AC27"/>
      <c r="AD27"/>
      <c r="AE27"/>
      <c r="AF27"/>
      <c r="AG27"/>
      <c r="AH27"/>
      <c r="AI27"/>
      <c r="AJ27"/>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row>
    <row r="28" spans="1:146" s="58" customFormat="1" ht="15" customHeight="1" thickTop="1">
      <c r="B28" s="495" t="s">
        <v>205</v>
      </c>
      <c r="C28" s="496"/>
      <c r="D28" s="496"/>
      <c r="E28" s="496"/>
      <c r="F28" s="496" t="s">
        <v>363</v>
      </c>
      <c r="G28" s="496"/>
      <c r="H28" s="496"/>
      <c r="I28" s="496"/>
      <c r="J28" s="362" t="s">
        <v>201</v>
      </c>
      <c r="K28" s="363"/>
      <c r="L28" s="363"/>
      <c r="M28" s="364"/>
      <c r="N28" s="461" t="str">
        <f>IF(N29&gt;0.19,"service fee","administration fee")</f>
        <v>service fee</v>
      </c>
      <c r="O28" s="462"/>
      <c r="P28" s="462"/>
      <c r="Q28" s="462"/>
      <c r="R28" s="414" t="s">
        <v>209</v>
      </c>
      <c r="S28" s="414"/>
      <c r="T28" s="414"/>
      <c r="U28" s="414"/>
      <c r="V28" s="414"/>
      <c r="W28" s="416" t="s">
        <v>228</v>
      </c>
      <c r="X28" s="416"/>
      <c r="Y28" s="416"/>
      <c r="Z28" s="416"/>
      <c r="AA28" s="416"/>
      <c r="AB28" s="124"/>
      <c r="AC28"/>
      <c r="AD28"/>
      <c r="AE28"/>
      <c r="AF28"/>
      <c r="AG28"/>
      <c r="AH28"/>
      <c r="AI28"/>
      <c r="AJ28"/>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row>
    <row r="29" spans="1:146" s="147" customFormat="1" ht="15" customHeight="1">
      <c r="B29" s="497" t="str">
        <f>IF(AGREEMENT!$Y$126=1,AGREEMENT!$R$135,IF(AGREEMENT!$Y$126=2,AGREEMENT!$R$136,IF(AGREEMENT!$Y$126=3,AGREEMENT!$R$137,IF(AGREEMENT!$Y$126=4,AGREEMENT!$R$138,IF(AGREEMENT!$Y$126=5,AGREEMENT!$R$139)))))</f>
        <v>credit card</v>
      </c>
      <c r="C29" s="498"/>
      <c r="D29" s="498"/>
      <c r="E29" s="498"/>
      <c r="F29" s="499" t="str">
        <f>IF('FACT 1'!$AA$96=1,'FACT 1'!$O$93,IF('FACT 1'!$AA$96=2,'FACT 1'!$O$94,IF('FACT 1'!$AA$96=3,'FACT 1'!$O$95,IF('FACT 1'!$AA$96=4,'FACT 1'!$O$96,IF('FACT 1'!$AA$96=5,'FACT 1'!$O$97,IF('FACT 1'!$AA$96=6,'FACT 1'!$O$98,))))))</f>
        <v>credit card</v>
      </c>
      <c r="G29" s="499"/>
      <c r="H29" s="499"/>
      <c r="I29" s="499"/>
      <c r="J29" s="365">
        <v>150</v>
      </c>
      <c r="K29" s="366"/>
      <c r="L29" s="366"/>
      <c r="M29" s="367"/>
      <c r="N29" s="463">
        <v>0.22</v>
      </c>
      <c r="O29" s="464"/>
      <c r="P29" s="464"/>
      <c r="Q29" s="465"/>
      <c r="R29" s="415">
        <v>18</v>
      </c>
      <c r="S29" s="415"/>
      <c r="T29" s="415"/>
      <c r="U29" s="415"/>
      <c r="V29" s="415"/>
      <c r="W29" s="417">
        <v>800</v>
      </c>
      <c r="X29" s="417"/>
      <c r="Y29" s="417"/>
      <c r="Z29" s="417"/>
      <c r="AA29" s="417"/>
      <c r="AB29" s="148"/>
      <c r="AC29"/>
      <c r="AD29"/>
      <c r="AE29"/>
      <c r="AF29"/>
      <c r="AG29"/>
      <c r="AH29"/>
      <c r="AI29"/>
      <c r="AJ29"/>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row>
    <row r="30" spans="1:146" s="58" customFormat="1" ht="22" customHeight="1">
      <c r="B30" s="490" t="s">
        <v>327</v>
      </c>
      <c r="C30" s="491"/>
      <c r="D30" s="491"/>
      <c r="E30" s="491"/>
      <c r="F30" s="492"/>
      <c r="G30" s="493"/>
      <c r="H30" s="493"/>
      <c r="I30" s="493"/>
      <c r="J30" s="493"/>
      <c r="K30" s="493"/>
      <c r="L30" s="493"/>
      <c r="M30" s="493"/>
      <c r="N30" s="493"/>
      <c r="O30" s="493"/>
      <c r="P30" s="493"/>
      <c r="Q30" s="493"/>
      <c r="R30" s="493"/>
      <c r="S30" s="493"/>
      <c r="T30" s="493"/>
      <c r="U30" s="493"/>
      <c r="V30" s="493"/>
      <c r="W30" s="493"/>
      <c r="X30" s="493"/>
      <c r="Y30" s="493"/>
      <c r="Z30" s="493"/>
      <c r="AA30" s="494"/>
      <c r="AB30" s="124"/>
      <c r="AC30"/>
      <c r="AD30"/>
      <c r="AE30"/>
      <c r="AF30"/>
      <c r="AG30"/>
      <c r="AH30"/>
      <c r="AI30"/>
      <c r="AJ3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row>
    <row r="31" spans="1:146" s="59" customFormat="1" ht="2" customHeight="1">
      <c r="A31" s="420"/>
      <c r="B31" s="421"/>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c r="AD31"/>
      <c r="AE31"/>
      <c r="AF31"/>
      <c r="AG31"/>
      <c r="AH31"/>
      <c r="AI31"/>
      <c r="AJ31"/>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row>
    <row r="32" spans="1:146" s="149" customFormat="1" ht="16" customHeight="1" thickBot="1">
      <c r="A32" s="87"/>
      <c r="B32" s="343" t="s">
        <v>207</v>
      </c>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88"/>
      <c r="AC32"/>
      <c r="AD32"/>
      <c r="AE32"/>
      <c r="AF32"/>
      <c r="AG32"/>
      <c r="AH32"/>
      <c r="AI32"/>
      <c r="AJ32"/>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row>
    <row r="33" spans="1:146" s="8" customFormat="1" ht="25" customHeight="1" thickTop="1">
      <c r="B33" s="96">
        <v>1</v>
      </c>
      <c r="C33" s="488" t="str">
        <f>IF(B149&gt;0,CONCATENATE("MENU: Your Final Event Menu (the “Menu”), or any changes to the agreed food and/or beverage Menu(s), must be agreed to, in writing, at least three (3) business days prior to your Event on ",TEXT(B22,"dddd, mmmm d, yyyy"),"."),("MENU: Your final Event Menu (the “Menu”), or any changes to the agreed food and/or beverage Menu(s), must be agreed to, in writing, at least three (3) business days prior to the day of your Event."))</f>
        <v>MENU: Your Final Event Menu (the “Menu”), or any changes to the agreed food and/or beverage Menu(s), must be agreed to, in writing, at least three (3) business days prior to your Event on Tuesday, June 21, 2016.</v>
      </c>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9"/>
      <c r="AC33"/>
      <c r="AD33"/>
      <c r="AE33"/>
      <c r="AF33"/>
      <c r="AG33"/>
      <c r="AH33"/>
      <c r="AI33"/>
      <c r="AJ33"/>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row>
    <row r="34" spans="1:146" s="9" customFormat="1" ht="49" customHeight="1">
      <c r="B34" s="97">
        <v>2</v>
      </c>
      <c r="C34" s="361" t="str">
        <f>IF(R29&gt;0,B155&amp;B156,B158)</f>
        <v>GUEST GUARENTEE: Your Guest Guarentee of 18 persons is considered approximate and non-binding until three (3) business days prior to your Event. If a final Guest Guarantee is not provided at least three (3) business days prior to your Event, the approximate Guest Guarantee initially contemplated in this Agreement will automatically convert to a final Guest Guarantee. The final Guest Guarantee will form the basis upon which the final Event bill will be computed and cannot be reduced. Full accommodations for more than a 15% increased guest count cannot be guaranteed without three (3) days notice.</v>
      </c>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C34"/>
      <c r="AD34"/>
      <c r="AE34"/>
      <c r="AF34"/>
      <c r="AG34"/>
      <c r="AH34"/>
      <c r="AI34"/>
      <c r="AJ34"/>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row>
    <row r="35" spans="1:146" s="8" customFormat="1" ht="16" customHeight="1">
      <c r="B35" s="97">
        <v>3</v>
      </c>
      <c r="C35" s="489" t="str">
        <f>IF(W29&gt;0,("FOOD &amp; BEVERAGE MINIMUM: $"&amp;W29&amp;" (exclusive of "&amp;N29*100&amp;"% "&amp;S144&amp;", 9% California Sales Tax, and Gratuity.)"),("FOOD &amp; BEVERAGE MINIMUM:  $_______________(exclusive of "&amp;N29*100&amp;"% "&amp;S144&amp;", 9% California Sales Tax, and Gratuity.)"))</f>
        <v>FOOD &amp; BEVERAGE MINIMUM: $800 (exclusive of 22% Service Fee, 9% California Sales Tax, and Gratuity.)</v>
      </c>
      <c r="D35" s="489"/>
      <c r="E35" s="489"/>
      <c r="F35" s="489"/>
      <c r="G35" s="489"/>
      <c r="H35" s="489"/>
      <c r="I35" s="489"/>
      <c r="J35" s="489"/>
      <c r="K35" s="489"/>
      <c r="L35" s="489"/>
      <c r="M35" s="489"/>
      <c r="N35" s="489"/>
      <c r="O35" s="489"/>
      <c r="P35" s="489"/>
      <c r="Q35" s="489"/>
      <c r="R35" s="489"/>
      <c r="S35" s="489"/>
      <c r="T35" s="489"/>
      <c r="U35" s="489"/>
      <c r="V35" s="489"/>
      <c r="W35" s="489"/>
      <c r="X35" s="489"/>
      <c r="Y35" s="489"/>
      <c r="Z35" s="489"/>
      <c r="AA35" s="489"/>
      <c r="AB35" s="9"/>
      <c r="AC35"/>
      <c r="AD35"/>
      <c r="AE35"/>
      <c r="AF35"/>
      <c r="AG35"/>
      <c r="AH35"/>
      <c r="AI35"/>
      <c r="AJ35"/>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row>
    <row r="36" spans="1:146" s="8" customFormat="1" ht="25" customHeight="1">
      <c r="B36" s="96">
        <v>4</v>
      </c>
      <c r="C36" s="361" t="str">
        <f>IF(Q138=1,B163,IF(Q138=2,B164,IF(Q138=3,B162,IF(Q138=4,B165))))</f>
        <v xml:space="preserve">PARKING: Hosted-valet parking available for $6/per for less than 2-hours and $8/per for more than 2-hrs. Guest-valet parking is available at posted rates. Free validated self-parking is available in the parking garage across from the restaurant at 1100 Glendon Ave. </v>
      </c>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9"/>
      <c r="AC36"/>
      <c r="AD36"/>
      <c r="AE36"/>
      <c r="AF36"/>
      <c r="AG36"/>
      <c r="AH36"/>
      <c r="AI36"/>
      <c r="AJ36"/>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row>
    <row r="37" spans="1:146" s="8" customFormat="1" ht="61" customHeight="1">
      <c r="B37" s="97">
        <v>5</v>
      </c>
      <c r="C37" s="361" t="str">
        <f>IF(AGREEMENT!$Y$126=5,AGREEMENT!$B$151,AGREEMENT!$B$153)</f>
        <v>PAYMENT: Payment by credit card or approved check is due immediately upon the conclusion of the Event. Payments by check must be coordinated with and approved by your Event Manager at least five (5) business days prior to the Event. Skylight Gardens requests that all Event Hosts paying with a credit card present their physical card at the time of the Event. If your card is not available at the time of the Event, Host authorizes Skylight Gardens to charge any outstanding balance to the credit card authorized in the attached CC Authorization Form. Please note: Event payments in excess of $10,000 not paid by an approved check or wire transfer will incur a 3% credit card transaction fee. All returned Checks are subject to a $50 return fee.</v>
      </c>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9"/>
      <c r="AC37"/>
      <c r="AD37"/>
      <c r="AE37"/>
      <c r="AF37"/>
      <c r="AG37"/>
      <c r="AH37"/>
      <c r="AI37"/>
      <c r="AJ37"/>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row>
    <row r="38" spans="1:146" s="9" customFormat="1" ht="38" customHeight="1">
      <c r="B38" s="97">
        <v>6</v>
      </c>
      <c r="C38" s="361" t="s">
        <v>243</v>
      </c>
      <c r="D38" s="361"/>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C38"/>
      <c r="AD38"/>
      <c r="AE38"/>
      <c r="AF38"/>
      <c r="AG38"/>
      <c r="AH38"/>
      <c r="AI38"/>
      <c r="AJ38"/>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row>
    <row r="39" spans="1:146" s="9" customFormat="1" ht="25" customHeight="1">
      <c r="B39" s="97">
        <v>6</v>
      </c>
      <c r="C39" s="361" t="str">
        <f>IF(N29&gt;0.15,B169,B167)</f>
        <v>SERVICE FEE: All Food, Beverage and Event services are subject to a 22% Service Fee (allocated by management to your Event service staff and administration based on an assessment of the Event particulars and service needs).</v>
      </c>
      <c r="D39" s="361"/>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C39"/>
      <c r="AD39"/>
      <c r="AE39"/>
      <c r="AF39"/>
      <c r="AG39"/>
      <c r="AH39"/>
      <c r="AI39"/>
      <c r="AJ39"/>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row>
    <row r="40" spans="1:146" s="8" customFormat="1" ht="25" customHeight="1">
      <c r="B40" s="96">
        <v>7</v>
      </c>
      <c r="C40" s="348" t="s">
        <v>137</v>
      </c>
      <c r="D40" s="348"/>
      <c r="E40" s="348"/>
      <c r="F40" s="348"/>
      <c r="G40" s="349"/>
      <c r="H40" s="349"/>
      <c r="I40" s="349"/>
      <c r="J40" s="349"/>
      <c r="K40" s="349"/>
      <c r="L40" s="349"/>
      <c r="M40" s="349"/>
      <c r="N40" s="349"/>
      <c r="O40" s="349"/>
      <c r="P40" s="349"/>
      <c r="Q40" s="349"/>
      <c r="R40" s="349"/>
      <c r="S40" s="349"/>
      <c r="T40" s="349"/>
      <c r="U40" s="349"/>
      <c r="V40" s="349"/>
      <c r="W40" s="349"/>
      <c r="X40" s="349"/>
      <c r="Y40" s="349"/>
      <c r="Z40" s="349"/>
      <c r="AA40" s="349"/>
      <c r="AB40" s="9"/>
      <c r="AC40"/>
      <c r="AD40"/>
      <c r="AE40"/>
      <c r="AF40"/>
      <c r="AG40"/>
      <c r="AH40"/>
      <c r="AI40"/>
      <c r="AJ4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row>
    <row r="41" spans="1:146" s="10" customFormat="1" ht="2" customHeight="1">
      <c r="A41" s="466"/>
      <c r="B41" s="466"/>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C41"/>
      <c r="AD41"/>
      <c r="AE41"/>
      <c r="AF41"/>
      <c r="AG41"/>
      <c r="AH41"/>
      <c r="AI41"/>
      <c r="AJ41"/>
    </row>
    <row r="42" spans="1:146" s="11" customFormat="1" ht="16" customHeight="1" thickBot="1">
      <c r="A42" s="89"/>
      <c r="B42" s="340" t="s">
        <v>287</v>
      </c>
      <c r="C42" s="340"/>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C42"/>
      <c r="AD42"/>
      <c r="AE42"/>
      <c r="AF42"/>
      <c r="AG42"/>
      <c r="AH42"/>
      <c r="AI42"/>
      <c r="AJ42"/>
    </row>
    <row r="43" spans="1:146" ht="29" customHeight="1" thickTop="1">
      <c r="B43" s="526"/>
      <c r="C43" s="526"/>
      <c r="D43" s="526"/>
      <c r="E43" s="526"/>
      <c r="F43" s="526"/>
      <c r="G43" s="526"/>
      <c r="H43" s="526"/>
      <c r="I43" s="526"/>
      <c r="J43" s="526"/>
      <c r="K43" s="526"/>
      <c r="L43" s="526"/>
      <c r="M43" s="526"/>
      <c r="N43" s="526"/>
      <c r="O43" s="526"/>
      <c r="P43" s="526"/>
      <c r="Q43" s="526"/>
      <c r="R43" s="526"/>
      <c r="S43" s="526"/>
      <c r="T43" s="526"/>
      <c r="U43" s="527" t="s">
        <v>376</v>
      </c>
      <c r="V43" s="528"/>
      <c r="W43" s="528"/>
      <c r="X43" s="528"/>
      <c r="Y43" s="528"/>
      <c r="Z43" s="528"/>
      <c r="AA43" s="528"/>
    </row>
    <row r="44" spans="1:146" s="13" customFormat="1" ht="8" customHeight="1">
      <c r="B44" s="383" t="s">
        <v>268</v>
      </c>
      <c r="C44" s="383"/>
      <c r="D44" s="383"/>
      <c r="E44" s="383"/>
      <c r="F44" s="383"/>
      <c r="G44" s="383"/>
      <c r="H44" s="383"/>
      <c r="I44" s="383" t="s">
        <v>269</v>
      </c>
      <c r="J44" s="383"/>
      <c r="K44" s="383"/>
      <c r="L44" s="383"/>
      <c r="M44" s="383"/>
      <c r="N44" s="383"/>
      <c r="O44" s="383"/>
      <c r="P44" s="383" t="s">
        <v>130</v>
      </c>
      <c r="Q44" s="383"/>
      <c r="R44" s="383"/>
      <c r="S44" s="383"/>
      <c r="T44" s="383"/>
      <c r="U44" s="529" t="s">
        <v>365</v>
      </c>
      <c r="V44" s="383"/>
      <c r="W44" s="383"/>
      <c r="X44" s="383"/>
      <c r="Y44" s="383"/>
      <c r="Z44" s="383"/>
      <c r="AA44" s="383"/>
      <c r="AB44" s="14"/>
      <c r="AC44"/>
      <c r="AD44"/>
      <c r="AE44"/>
      <c r="AF44"/>
      <c r="AG44"/>
      <c r="AH44"/>
      <c r="AI44"/>
      <c r="AJ44"/>
    </row>
    <row r="45" spans="1:146" ht="1" customHeight="1">
      <c r="B45" s="15"/>
      <c r="C45" s="15"/>
      <c r="D45" s="15"/>
      <c r="E45" s="93"/>
      <c r="F45" s="93"/>
      <c r="G45" s="93"/>
      <c r="H45" s="93"/>
      <c r="I45" s="17"/>
      <c r="J45" s="17"/>
      <c r="K45" s="17"/>
      <c r="L45" s="17"/>
      <c r="M45" s="17"/>
      <c r="N45" s="17"/>
      <c r="O45" s="17"/>
      <c r="P45" s="17"/>
      <c r="Q45" s="17"/>
      <c r="R45" s="17"/>
      <c r="S45" s="17"/>
      <c r="T45" s="17"/>
      <c r="U45" s="17"/>
      <c r="V45" s="93"/>
      <c r="W45" s="93"/>
      <c r="X45" s="93"/>
      <c r="Y45" s="93"/>
      <c r="Z45" s="93"/>
      <c r="AA45" s="17"/>
      <c r="AB45" s="17"/>
    </row>
    <row r="46" spans="1:146" s="10" customFormat="1" ht="2" customHeight="1">
      <c r="AC46"/>
      <c r="AD46"/>
      <c r="AE46"/>
      <c r="AF46"/>
      <c r="AG46"/>
      <c r="AH46"/>
      <c r="AI46"/>
      <c r="AJ46"/>
    </row>
    <row r="47" spans="1:146" s="18" customFormat="1" ht="21" customHeight="1">
      <c r="B47" s="350" t="s">
        <v>145</v>
      </c>
      <c r="C47" s="351"/>
      <c r="D47" s="351"/>
      <c r="E47" s="351"/>
      <c r="F47" s="351"/>
      <c r="G47" s="351"/>
      <c r="H47" s="351"/>
      <c r="I47" s="351"/>
      <c r="J47" s="351"/>
      <c r="K47" s="351"/>
      <c r="L47" s="351"/>
      <c r="M47" s="351"/>
      <c r="N47" s="351"/>
      <c r="O47" s="351"/>
      <c r="P47" s="418" t="str">
        <f>IF((COUNT(B22,B25:AA25))&gt;1,"EVENT ID #: "&amp;"S-"&amp;IF($B22&gt;0,(CONCATENATE(TEXT('FACT 1'!$B$102,"yymmdd"),'FACT 1'!$F$102,'FACT 1'!$AC$102,'FACT 1'!$AB$97))," "),IF($B22&gt;0,"EVENT ID #: "&amp;(CONCATENATE(TEXT('FACT 1'!$B$102,"yymmdd"),'FACT 1'!$F$102,'FACT 1'!$AC$102,'FACT 1'!$AB$97)),""))</f>
        <v>EVENT ID #: 160621LRTAR</v>
      </c>
      <c r="Q47" s="418"/>
      <c r="R47" s="418"/>
      <c r="S47" s="418"/>
      <c r="T47" s="418"/>
      <c r="U47" s="418"/>
      <c r="V47" s="418"/>
      <c r="W47" s="418"/>
      <c r="X47" s="418"/>
      <c r="Y47" s="418"/>
      <c r="Z47" s="418"/>
      <c r="AA47" s="419"/>
      <c r="AC47"/>
      <c r="AD47"/>
      <c r="AE47"/>
      <c r="AF47"/>
      <c r="AG47"/>
      <c r="AH47"/>
      <c r="AI47"/>
      <c r="AJ47"/>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row>
    <row r="48" spans="1:146" s="10" customFormat="1" ht="2" customHeight="1">
      <c r="AC48"/>
      <c r="AD48"/>
      <c r="AE48"/>
      <c r="AF48"/>
      <c r="AG48"/>
      <c r="AH48"/>
      <c r="AI48"/>
      <c r="AJ48"/>
    </row>
    <row r="49" spans="2:36" s="10" customFormat="1" ht="59" customHeight="1">
      <c r="B49" s="400" t="s">
        <v>249</v>
      </c>
      <c r="C49" s="400"/>
      <c r="D49" s="400"/>
      <c r="E49" s="400"/>
      <c r="F49" s="400"/>
      <c r="G49" s="400"/>
      <c r="H49" s="400"/>
      <c r="I49" s="400"/>
      <c r="J49" s="400"/>
      <c r="K49" s="400"/>
      <c r="L49" s="400"/>
      <c r="M49" s="400"/>
      <c r="N49" s="400"/>
      <c r="O49" s="400"/>
      <c r="P49" s="400"/>
      <c r="Q49" s="400"/>
      <c r="R49" s="400"/>
      <c r="S49" s="400"/>
      <c r="T49" s="400"/>
      <c r="U49" s="400"/>
      <c r="V49" s="400"/>
      <c r="W49" s="400"/>
      <c r="X49" s="400"/>
      <c r="Y49" s="401"/>
      <c r="Z49" s="346" t="s">
        <v>375</v>
      </c>
      <c r="AA49" s="347"/>
      <c r="AC49"/>
      <c r="AD49"/>
      <c r="AE49"/>
      <c r="AF49"/>
      <c r="AG49"/>
      <c r="AH49"/>
      <c r="AI49"/>
      <c r="AJ49"/>
    </row>
    <row r="50" spans="2:36" s="10" customFormat="1" ht="5" customHeight="1">
      <c r="B50" s="19"/>
      <c r="C50" s="19"/>
      <c r="D50" s="19"/>
      <c r="E50" s="19"/>
      <c r="F50" s="19"/>
      <c r="G50" s="19"/>
      <c r="H50" s="19"/>
      <c r="I50" s="19"/>
      <c r="J50" s="19"/>
      <c r="K50" s="19"/>
      <c r="L50" s="19"/>
      <c r="M50" s="19"/>
      <c r="N50" s="19"/>
      <c r="O50" s="19"/>
      <c r="P50" s="19"/>
      <c r="Q50" s="19"/>
      <c r="R50" s="19"/>
      <c r="S50" s="19"/>
      <c r="T50" s="19"/>
      <c r="U50" s="19"/>
      <c r="V50" s="19"/>
      <c r="W50" s="19"/>
      <c r="X50" s="19"/>
      <c r="Y50" s="20"/>
      <c r="Z50" s="44"/>
      <c r="AA50" s="44"/>
      <c r="AC50"/>
      <c r="AD50"/>
      <c r="AE50"/>
      <c r="AF50"/>
      <c r="AG50"/>
      <c r="AH50"/>
      <c r="AI50"/>
      <c r="AJ50"/>
    </row>
    <row r="51" spans="2:36" s="10" customFormat="1" ht="59" customHeight="1">
      <c r="B51" s="400" t="s">
        <v>250</v>
      </c>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Z51" s="346" t="s">
        <v>375</v>
      </c>
      <c r="AA51" s="347"/>
      <c r="AC51"/>
      <c r="AD51"/>
      <c r="AE51"/>
      <c r="AF51"/>
      <c r="AG51"/>
      <c r="AH51"/>
      <c r="AI51"/>
      <c r="AJ51"/>
    </row>
    <row r="52" spans="2:36" s="10" customFormat="1" ht="5" customHeight="1">
      <c r="B52" s="19"/>
      <c r="C52" s="19"/>
      <c r="D52" s="19"/>
      <c r="E52" s="19"/>
      <c r="F52" s="19"/>
      <c r="G52" s="19"/>
      <c r="H52" s="19"/>
      <c r="I52" s="19"/>
      <c r="J52" s="19"/>
      <c r="K52" s="19"/>
      <c r="L52" s="19"/>
      <c r="M52" s="19"/>
      <c r="N52" s="19"/>
      <c r="O52" s="19"/>
      <c r="P52" s="19"/>
      <c r="Q52" s="19"/>
      <c r="R52" s="19"/>
      <c r="S52" s="19"/>
      <c r="T52" s="19"/>
      <c r="U52" s="19"/>
      <c r="V52" s="19"/>
      <c r="W52" s="19"/>
      <c r="X52" s="19"/>
      <c r="Y52" s="20"/>
      <c r="Z52" s="44"/>
      <c r="AA52" s="44"/>
      <c r="AC52"/>
      <c r="AD52"/>
      <c r="AE52"/>
      <c r="AF52"/>
      <c r="AG52"/>
      <c r="AH52"/>
      <c r="AI52"/>
      <c r="AJ52"/>
    </row>
    <row r="53" spans="2:36" s="10" customFormat="1" ht="92" customHeight="1">
      <c r="B53" s="400" t="s">
        <v>251</v>
      </c>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346" t="s">
        <v>375</v>
      </c>
      <c r="AA53" s="347"/>
      <c r="AC53"/>
      <c r="AD53"/>
      <c r="AE53"/>
      <c r="AF53"/>
      <c r="AG53"/>
      <c r="AH53"/>
      <c r="AI53"/>
      <c r="AJ53"/>
    </row>
    <row r="54" spans="2:36" s="10" customFormat="1" ht="5" customHeight="1">
      <c r="B54" s="19"/>
      <c r="C54" s="19"/>
      <c r="D54" s="19"/>
      <c r="E54" s="19"/>
      <c r="F54" s="19"/>
      <c r="G54" s="19"/>
      <c r="H54" s="19"/>
      <c r="I54" s="19"/>
      <c r="J54" s="19"/>
      <c r="K54" s="19"/>
      <c r="L54" s="19"/>
      <c r="M54" s="19"/>
      <c r="N54" s="19"/>
      <c r="O54" s="19"/>
      <c r="P54" s="19"/>
      <c r="Q54" s="19"/>
      <c r="R54" s="19"/>
      <c r="S54" s="19"/>
      <c r="T54" s="19"/>
      <c r="U54" s="19"/>
      <c r="V54" s="19"/>
      <c r="W54" s="19"/>
      <c r="X54" s="19"/>
      <c r="Y54" s="20"/>
      <c r="Z54" s="44"/>
      <c r="AA54" s="44"/>
      <c r="AC54"/>
      <c r="AD54"/>
      <c r="AE54"/>
      <c r="AF54"/>
      <c r="AG54"/>
      <c r="AH54"/>
      <c r="AI54"/>
      <c r="AJ54"/>
    </row>
    <row r="55" spans="2:36" s="10" customFormat="1" ht="48" customHeight="1">
      <c r="B55" s="400" t="s">
        <v>330</v>
      </c>
      <c r="C55" s="400"/>
      <c r="D55" s="400"/>
      <c r="E55" s="400"/>
      <c r="F55" s="400"/>
      <c r="G55" s="400"/>
      <c r="H55" s="400"/>
      <c r="I55" s="400"/>
      <c r="J55" s="400"/>
      <c r="K55" s="400"/>
      <c r="L55" s="400"/>
      <c r="M55" s="400"/>
      <c r="N55" s="400"/>
      <c r="O55" s="400"/>
      <c r="P55" s="400"/>
      <c r="Q55" s="400"/>
      <c r="R55" s="400"/>
      <c r="S55" s="400"/>
      <c r="T55" s="400"/>
      <c r="U55" s="400"/>
      <c r="V55" s="400"/>
      <c r="W55" s="400"/>
      <c r="X55" s="400"/>
      <c r="Y55" s="400"/>
      <c r="Z55" s="346" t="s">
        <v>375</v>
      </c>
      <c r="AA55" s="347"/>
      <c r="AC55"/>
      <c r="AD55"/>
      <c r="AE55"/>
      <c r="AF55"/>
      <c r="AG55"/>
      <c r="AH55"/>
      <c r="AI55"/>
      <c r="AJ55"/>
    </row>
    <row r="56" spans="2:36" s="10" customFormat="1" ht="5" customHeight="1">
      <c r="B56" s="19"/>
      <c r="C56" s="19"/>
      <c r="D56" s="19"/>
      <c r="E56" s="19"/>
      <c r="F56" s="19"/>
      <c r="G56" s="19"/>
      <c r="H56" s="19"/>
      <c r="I56" s="19"/>
      <c r="J56" s="19"/>
      <c r="K56" s="19"/>
      <c r="L56" s="19"/>
      <c r="M56" s="19"/>
      <c r="N56" s="19"/>
      <c r="O56" s="19"/>
      <c r="P56" s="19"/>
      <c r="Q56" s="19"/>
      <c r="R56" s="19"/>
      <c r="S56" s="19"/>
      <c r="T56" s="19"/>
      <c r="U56" s="19"/>
      <c r="V56" s="19"/>
      <c r="W56" s="19"/>
      <c r="X56" s="19"/>
      <c r="Y56" s="20"/>
      <c r="Z56" s="44"/>
      <c r="AA56" s="44"/>
      <c r="AC56"/>
      <c r="AD56"/>
      <c r="AE56"/>
      <c r="AF56"/>
      <c r="AG56"/>
      <c r="AH56"/>
      <c r="AI56"/>
      <c r="AJ56"/>
    </row>
    <row r="57" spans="2:36" s="10" customFormat="1" ht="59" customHeight="1">
      <c r="B57" s="400" t="s">
        <v>252</v>
      </c>
      <c r="C57" s="400"/>
      <c r="D57" s="400"/>
      <c r="E57" s="400"/>
      <c r="F57" s="400"/>
      <c r="G57" s="400"/>
      <c r="H57" s="400"/>
      <c r="I57" s="400"/>
      <c r="J57" s="400"/>
      <c r="K57" s="400"/>
      <c r="L57" s="400"/>
      <c r="M57" s="400"/>
      <c r="N57" s="400"/>
      <c r="O57" s="400"/>
      <c r="P57" s="400"/>
      <c r="Q57" s="400"/>
      <c r="R57" s="400"/>
      <c r="S57" s="400"/>
      <c r="T57" s="400"/>
      <c r="U57" s="400"/>
      <c r="V57" s="400"/>
      <c r="W57" s="400"/>
      <c r="X57" s="400"/>
      <c r="Y57" s="400"/>
      <c r="Z57" s="346" t="s">
        <v>375</v>
      </c>
      <c r="AA57" s="347"/>
      <c r="AC57"/>
      <c r="AD57"/>
      <c r="AE57"/>
      <c r="AF57"/>
      <c r="AG57"/>
      <c r="AH57"/>
      <c r="AI57"/>
      <c r="AJ57"/>
    </row>
    <row r="58" spans="2:36" s="10" customFormat="1" ht="5" customHeight="1">
      <c r="B58" s="19"/>
      <c r="C58" s="19"/>
      <c r="D58" s="19"/>
      <c r="E58" s="19"/>
      <c r="F58" s="19"/>
      <c r="G58" s="19"/>
      <c r="H58" s="19"/>
      <c r="I58" s="19"/>
      <c r="J58" s="19"/>
      <c r="K58" s="19"/>
      <c r="L58" s="19"/>
      <c r="M58" s="19"/>
      <c r="N58" s="19"/>
      <c r="O58" s="19"/>
      <c r="P58" s="19"/>
      <c r="Q58" s="19"/>
      <c r="R58" s="19"/>
      <c r="S58" s="19"/>
      <c r="T58" s="19"/>
      <c r="U58" s="19"/>
      <c r="V58" s="19"/>
      <c r="W58" s="19"/>
      <c r="X58" s="19"/>
      <c r="Y58" s="20"/>
      <c r="Z58" s="44"/>
      <c r="AA58" s="44"/>
      <c r="AC58"/>
      <c r="AD58"/>
      <c r="AE58"/>
      <c r="AF58"/>
      <c r="AG58"/>
      <c r="AH58"/>
      <c r="AI58"/>
      <c r="AJ58"/>
    </row>
    <row r="59" spans="2:36" s="10" customFormat="1" ht="93" customHeight="1">
      <c r="B59" s="388" t="s">
        <v>253</v>
      </c>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46" t="s">
        <v>375</v>
      </c>
      <c r="AA59" s="347"/>
      <c r="AC59"/>
      <c r="AD59"/>
      <c r="AE59"/>
      <c r="AF59"/>
      <c r="AG59"/>
      <c r="AH59"/>
      <c r="AI59"/>
      <c r="AJ59"/>
    </row>
    <row r="60" spans="2:36" s="10" customFormat="1" ht="5" customHeight="1">
      <c r="B60" s="19"/>
      <c r="C60" s="19"/>
      <c r="D60" s="19"/>
      <c r="E60" s="19"/>
      <c r="F60" s="19"/>
      <c r="G60" s="19"/>
      <c r="H60" s="19"/>
      <c r="I60" s="19"/>
      <c r="J60" s="19"/>
      <c r="K60" s="19"/>
      <c r="L60" s="19"/>
      <c r="M60" s="19"/>
      <c r="N60" s="19"/>
      <c r="O60" s="19"/>
      <c r="P60" s="19"/>
      <c r="Q60" s="19"/>
      <c r="R60" s="19"/>
      <c r="S60" s="19"/>
      <c r="T60" s="19"/>
      <c r="U60" s="19"/>
      <c r="V60" s="19"/>
      <c r="W60" s="19"/>
      <c r="X60" s="19"/>
      <c r="Y60" s="20"/>
      <c r="Z60" s="44"/>
      <c r="AA60" s="44"/>
      <c r="AC60"/>
      <c r="AD60"/>
      <c r="AE60"/>
      <c r="AF60"/>
      <c r="AG60"/>
      <c r="AH60"/>
      <c r="AI60"/>
      <c r="AJ60"/>
    </row>
    <row r="61" spans="2:36" s="10" customFormat="1" ht="48" customHeight="1">
      <c r="B61" s="437" t="s">
        <v>254</v>
      </c>
      <c r="C61" s="437"/>
      <c r="D61" s="437"/>
      <c r="E61" s="437"/>
      <c r="F61" s="437"/>
      <c r="G61" s="437"/>
      <c r="H61" s="437"/>
      <c r="I61" s="437"/>
      <c r="J61" s="437"/>
      <c r="K61" s="437"/>
      <c r="L61" s="437"/>
      <c r="M61" s="437"/>
      <c r="N61" s="437"/>
      <c r="O61" s="437"/>
      <c r="P61" s="437"/>
      <c r="Q61" s="437"/>
      <c r="R61" s="437"/>
      <c r="S61" s="437"/>
      <c r="T61" s="437"/>
      <c r="U61" s="437"/>
      <c r="V61" s="437"/>
      <c r="W61" s="437"/>
      <c r="X61" s="437"/>
      <c r="Y61" s="437"/>
      <c r="Z61" s="346" t="s">
        <v>375</v>
      </c>
      <c r="AA61" s="347"/>
      <c r="AC61"/>
      <c r="AD61"/>
      <c r="AE61"/>
      <c r="AF61"/>
      <c r="AG61"/>
      <c r="AH61"/>
      <c r="AI61"/>
      <c r="AJ61"/>
    </row>
    <row r="62" spans="2:36" s="10" customFormat="1" ht="5" customHeight="1">
      <c r="B62" s="91"/>
      <c r="C62" s="91"/>
      <c r="D62" s="91"/>
      <c r="E62" s="91"/>
      <c r="F62" s="91"/>
      <c r="G62" s="91"/>
      <c r="H62" s="91"/>
      <c r="I62" s="91"/>
      <c r="J62" s="91"/>
      <c r="K62" s="91"/>
      <c r="L62" s="91"/>
      <c r="M62" s="91"/>
      <c r="N62" s="91"/>
      <c r="O62" s="91"/>
      <c r="P62" s="91"/>
      <c r="Q62" s="91"/>
      <c r="R62" s="91"/>
      <c r="S62" s="91"/>
      <c r="T62" s="91"/>
      <c r="U62" s="91"/>
      <c r="V62" s="91"/>
      <c r="W62" s="91"/>
      <c r="X62" s="91"/>
      <c r="Y62" s="91"/>
      <c r="Z62" s="41"/>
      <c r="AA62" s="41"/>
      <c r="AC62"/>
      <c r="AD62"/>
      <c r="AE62"/>
      <c r="AF62"/>
      <c r="AG62"/>
      <c r="AH62"/>
      <c r="AI62"/>
      <c r="AJ62"/>
    </row>
    <row r="63" spans="2:36" s="21" customFormat="1" ht="59" customHeight="1">
      <c r="B63" s="388" t="s">
        <v>273</v>
      </c>
      <c r="C63" s="388"/>
      <c r="D63" s="388"/>
      <c r="E63" s="388"/>
      <c r="F63" s="388"/>
      <c r="G63" s="388"/>
      <c r="H63" s="388"/>
      <c r="I63" s="388"/>
      <c r="J63" s="388"/>
      <c r="K63" s="388"/>
      <c r="L63" s="388"/>
      <c r="M63" s="388"/>
      <c r="N63" s="388"/>
      <c r="O63" s="388"/>
      <c r="P63" s="388"/>
      <c r="Q63" s="388"/>
      <c r="R63" s="388"/>
      <c r="S63" s="388"/>
      <c r="T63" s="388"/>
      <c r="U63" s="388"/>
      <c r="V63" s="388"/>
      <c r="W63" s="388"/>
      <c r="X63" s="388"/>
      <c r="Y63" s="389"/>
      <c r="Z63" s="346" t="s">
        <v>375</v>
      </c>
      <c r="AA63" s="347"/>
      <c r="AC63"/>
      <c r="AD63"/>
      <c r="AE63"/>
      <c r="AF63"/>
      <c r="AG63"/>
      <c r="AH63"/>
      <c r="AI63"/>
      <c r="AJ63"/>
    </row>
    <row r="64" spans="2:36" s="10" customFormat="1" ht="5" customHeight="1">
      <c r="B64" s="19"/>
      <c r="C64" s="19"/>
      <c r="D64" s="19"/>
      <c r="E64" s="19"/>
      <c r="F64" s="19"/>
      <c r="G64" s="19"/>
      <c r="H64" s="19"/>
      <c r="I64" s="19"/>
      <c r="J64" s="19"/>
      <c r="K64" s="19"/>
      <c r="L64" s="19"/>
      <c r="M64" s="19"/>
      <c r="N64" s="19"/>
      <c r="O64" s="19"/>
      <c r="P64" s="19"/>
      <c r="Q64" s="19"/>
      <c r="R64" s="19"/>
      <c r="S64" s="19"/>
      <c r="T64" s="19"/>
      <c r="U64" s="19"/>
      <c r="V64" s="19"/>
      <c r="W64" s="19"/>
      <c r="X64" s="19"/>
      <c r="Y64" s="20"/>
      <c r="Z64" s="44"/>
      <c r="AA64" s="44"/>
      <c r="AC64"/>
      <c r="AD64"/>
      <c r="AE64"/>
      <c r="AF64"/>
      <c r="AG64"/>
      <c r="AH64"/>
      <c r="AI64"/>
      <c r="AJ64"/>
    </row>
    <row r="65" spans="2:146" s="10" customFormat="1" ht="116" customHeight="1">
      <c r="B65" s="388" t="s">
        <v>255</v>
      </c>
      <c r="C65" s="505"/>
      <c r="D65" s="505"/>
      <c r="E65" s="505"/>
      <c r="F65" s="505"/>
      <c r="G65" s="505"/>
      <c r="H65" s="505"/>
      <c r="I65" s="505"/>
      <c r="J65" s="505"/>
      <c r="K65" s="505"/>
      <c r="L65" s="505"/>
      <c r="M65" s="505"/>
      <c r="N65" s="505"/>
      <c r="O65" s="505"/>
      <c r="P65" s="505"/>
      <c r="Q65" s="505"/>
      <c r="R65" s="505"/>
      <c r="S65" s="505"/>
      <c r="T65" s="505"/>
      <c r="U65" s="505"/>
      <c r="V65" s="505"/>
      <c r="W65" s="505"/>
      <c r="X65" s="505"/>
      <c r="Y65" s="505"/>
      <c r="Z65" s="346" t="s">
        <v>375</v>
      </c>
      <c r="AA65" s="347"/>
      <c r="AC65"/>
      <c r="AD65"/>
      <c r="AE65"/>
      <c r="AF65"/>
      <c r="AG65"/>
      <c r="AH65"/>
      <c r="AI65"/>
      <c r="AJ65"/>
    </row>
    <row r="66" spans="2:146" s="10" customFormat="1" ht="1" customHeight="1">
      <c r="B66" s="23"/>
      <c r="C66" s="23"/>
      <c r="D66" s="23"/>
      <c r="E66" s="23"/>
      <c r="F66" s="23"/>
      <c r="G66" s="23"/>
      <c r="H66" s="23"/>
      <c r="I66" s="23"/>
      <c r="J66" s="23"/>
      <c r="K66" s="23"/>
      <c r="L66" s="23"/>
      <c r="M66" s="23"/>
      <c r="N66" s="23"/>
      <c r="O66" s="23"/>
      <c r="P66" s="23"/>
      <c r="Q66" s="23"/>
      <c r="R66" s="23"/>
      <c r="S66" s="23"/>
      <c r="T66" s="23"/>
      <c r="U66" s="23"/>
      <c r="V66" s="23"/>
      <c r="W66" s="23"/>
      <c r="X66" s="23"/>
      <c r="Y66" s="23"/>
      <c r="Z66" s="150"/>
      <c r="AA66" s="150"/>
      <c r="AC66"/>
      <c r="AD66"/>
      <c r="AE66"/>
      <c r="AF66"/>
      <c r="AG66"/>
      <c r="AH66"/>
      <c r="AI66"/>
      <c r="AJ66"/>
    </row>
    <row r="67" spans="2:146" s="10" customFormat="1" ht="1" customHeight="1">
      <c r="B67" s="23"/>
      <c r="C67" s="23"/>
      <c r="D67" s="23"/>
      <c r="E67" s="23"/>
      <c r="F67" s="23"/>
      <c r="G67" s="23"/>
      <c r="H67" s="23"/>
      <c r="I67" s="23"/>
      <c r="J67" s="23"/>
      <c r="K67" s="23"/>
      <c r="L67" s="23"/>
      <c r="M67" s="23"/>
      <c r="N67" s="23"/>
      <c r="O67" s="23"/>
      <c r="P67" s="23"/>
      <c r="Q67" s="23"/>
      <c r="R67" s="23"/>
      <c r="S67" s="23"/>
      <c r="T67" s="23"/>
      <c r="U67" s="23"/>
      <c r="V67" s="23"/>
      <c r="W67" s="23"/>
      <c r="X67" s="23"/>
      <c r="Y67" s="23"/>
      <c r="Z67" s="150"/>
      <c r="AA67" s="150"/>
      <c r="AC67"/>
      <c r="AD67"/>
      <c r="AE67"/>
      <c r="AF67"/>
      <c r="AG67"/>
      <c r="AH67"/>
      <c r="AI67"/>
      <c r="AJ67"/>
    </row>
    <row r="68" spans="2:146" s="18" customFormat="1" ht="21" customHeight="1">
      <c r="B68" s="396" t="s">
        <v>146</v>
      </c>
      <c r="C68" s="397"/>
      <c r="D68" s="397"/>
      <c r="E68" s="397"/>
      <c r="F68" s="397"/>
      <c r="G68" s="397"/>
      <c r="H68" s="397"/>
      <c r="I68" s="397"/>
      <c r="J68" s="397"/>
      <c r="K68" s="397"/>
      <c r="L68" s="397"/>
      <c r="M68" s="397"/>
      <c r="N68" s="397"/>
      <c r="O68" s="397"/>
      <c r="P68" s="418" t="str">
        <f>IF((COUNT(B22,B25:AA25))&gt;1,"EVENT ID #: "&amp;"S-"&amp;IF($B22&gt;0,(CONCATENATE(TEXT('FACT 1'!$B$102,"yymmdd"),'FACT 1'!$F$102,'FACT 1'!$AC$102,'FACT 1'!$AB$97))," "),IF($B22&gt;0,"EVENT ID #: "&amp;(CONCATENATE(TEXT('FACT 1'!$B$102,"yymmdd"),'FACT 1'!$F$102,'FACT 1'!$AC$102,'FACT 1'!$AB$97)),""))</f>
        <v>EVENT ID #: 160621LRTAR</v>
      </c>
      <c r="Q68" s="418"/>
      <c r="R68" s="418"/>
      <c r="S68" s="418"/>
      <c r="T68" s="418"/>
      <c r="U68" s="418"/>
      <c r="V68" s="418"/>
      <c r="W68" s="418"/>
      <c r="X68" s="418"/>
      <c r="Y68" s="418"/>
      <c r="Z68" s="418"/>
      <c r="AA68" s="419"/>
      <c r="AC68"/>
      <c r="AD68"/>
      <c r="AE68"/>
      <c r="AF68"/>
      <c r="AG68"/>
      <c r="AH68"/>
      <c r="AI68"/>
      <c r="AJ68"/>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row>
    <row r="69" spans="2:146" s="10" customFormat="1" ht="2" customHeight="1">
      <c r="B69" s="22"/>
      <c r="C69" s="22"/>
      <c r="D69" s="22"/>
      <c r="E69" s="22"/>
      <c r="F69" s="22"/>
      <c r="G69" s="22"/>
      <c r="H69" s="22"/>
      <c r="I69" s="22"/>
      <c r="J69" s="22"/>
      <c r="K69" s="22"/>
      <c r="L69" s="22"/>
      <c r="M69" s="22"/>
      <c r="N69" s="22"/>
      <c r="O69" s="22"/>
      <c r="P69" s="22"/>
      <c r="Q69" s="22"/>
      <c r="R69" s="22"/>
      <c r="S69" s="22"/>
      <c r="T69" s="22"/>
      <c r="U69" s="22"/>
      <c r="V69" s="22"/>
      <c r="W69" s="22"/>
      <c r="X69" s="22"/>
      <c r="Y69" s="22"/>
      <c r="Z69" s="41"/>
      <c r="AA69" s="41"/>
      <c r="AC69"/>
      <c r="AD69"/>
      <c r="AE69"/>
      <c r="AF69"/>
      <c r="AG69"/>
      <c r="AH69"/>
      <c r="AI69"/>
      <c r="AJ69"/>
    </row>
    <row r="70" spans="2:146" s="10" customFormat="1" ht="36" customHeight="1">
      <c r="B70" s="391" t="s">
        <v>274</v>
      </c>
      <c r="C70" s="391"/>
      <c r="D70" s="391"/>
      <c r="E70" s="391"/>
      <c r="F70" s="391"/>
      <c r="G70" s="391"/>
      <c r="H70" s="391"/>
      <c r="I70" s="391"/>
      <c r="J70" s="391"/>
      <c r="K70" s="391"/>
      <c r="L70" s="391"/>
      <c r="M70" s="391"/>
      <c r="N70" s="391"/>
      <c r="O70" s="391"/>
      <c r="P70" s="391"/>
      <c r="Q70" s="391"/>
      <c r="R70" s="391"/>
      <c r="S70" s="391"/>
      <c r="T70" s="391"/>
      <c r="U70" s="391"/>
      <c r="V70" s="391"/>
      <c r="W70" s="391"/>
      <c r="X70" s="391"/>
      <c r="Y70" s="391"/>
      <c r="Z70" s="449" t="s">
        <v>375</v>
      </c>
      <c r="AA70" s="450"/>
      <c r="AB70" s="24"/>
      <c r="AC70"/>
      <c r="AD70"/>
      <c r="AE70"/>
      <c r="AF70"/>
      <c r="AG70"/>
      <c r="AH70"/>
      <c r="AI70"/>
      <c r="AJ70"/>
    </row>
    <row r="71" spans="2:146" s="10" customFormat="1" ht="149" customHeight="1">
      <c r="B71" s="332"/>
      <c r="C71" s="25"/>
      <c r="D71" s="25"/>
      <c r="E71" s="25"/>
      <c r="F71" s="25"/>
      <c r="G71" s="25"/>
      <c r="H71" s="25"/>
      <c r="I71" s="25"/>
      <c r="J71" s="25"/>
      <c r="K71" s="25"/>
      <c r="L71" s="25"/>
      <c r="M71" s="25"/>
      <c r="N71" s="25"/>
      <c r="O71" s="25"/>
      <c r="P71" s="25"/>
      <c r="Q71" s="25"/>
      <c r="R71" s="25"/>
      <c r="S71" s="446" t="s">
        <v>244</v>
      </c>
      <c r="T71" s="447"/>
      <c r="U71" s="447"/>
      <c r="V71" s="447"/>
      <c r="W71" s="447"/>
      <c r="X71" s="447"/>
      <c r="Y71" s="448"/>
      <c r="Z71" s="451"/>
      <c r="AA71" s="452"/>
      <c r="AB71" s="23"/>
      <c r="AC71"/>
      <c r="AD71"/>
      <c r="AE71"/>
      <c r="AF71"/>
      <c r="AG71"/>
      <c r="AH71"/>
      <c r="AI71"/>
      <c r="AJ71"/>
    </row>
    <row r="72" spans="2:146" s="10" customFormat="1" ht="2" customHeight="1">
      <c r="B72" s="19"/>
      <c r="C72" s="19"/>
      <c r="D72" s="19"/>
      <c r="E72" s="19"/>
      <c r="F72" s="19"/>
      <c r="G72" s="19"/>
      <c r="H72" s="19"/>
      <c r="I72" s="19"/>
      <c r="J72" s="19"/>
      <c r="K72" s="19"/>
      <c r="L72" s="19"/>
      <c r="M72" s="19"/>
      <c r="N72" s="19"/>
      <c r="O72" s="19"/>
      <c r="P72" s="19"/>
      <c r="Q72" s="19"/>
      <c r="R72" s="19"/>
      <c r="S72" s="19"/>
      <c r="T72" s="19"/>
      <c r="U72" s="19"/>
      <c r="V72" s="19"/>
      <c r="W72" s="19"/>
      <c r="X72" s="19"/>
      <c r="Y72" s="20"/>
      <c r="Z72" s="40"/>
      <c r="AA72" s="40"/>
      <c r="AC72"/>
      <c r="AD72"/>
      <c r="AE72"/>
      <c r="AF72"/>
      <c r="AG72"/>
      <c r="AH72"/>
      <c r="AI72"/>
      <c r="AJ72"/>
    </row>
    <row r="73" spans="2:146" s="10" customFormat="1" ht="35" customHeight="1">
      <c r="B73" s="515" t="s">
        <v>275</v>
      </c>
      <c r="C73" s="515"/>
      <c r="D73" s="515"/>
      <c r="E73" s="515"/>
      <c r="F73" s="515"/>
      <c r="G73" s="515"/>
      <c r="H73" s="515"/>
      <c r="I73" s="515"/>
      <c r="J73" s="515"/>
      <c r="K73" s="515"/>
      <c r="L73" s="515"/>
      <c r="M73" s="515"/>
      <c r="N73" s="515"/>
      <c r="O73" s="515"/>
      <c r="P73" s="515"/>
      <c r="Q73" s="515"/>
      <c r="R73" s="515"/>
      <c r="S73" s="515"/>
      <c r="T73" s="515"/>
      <c r="U73" s="515"/>
      <c r="V73" s="515"/>
      <c r="W73" s="515"/>
      <c r="X73" s="515"/>
      <c r="Y73" s="516"/>
      <c r="Z73" s="346" t="s">
        <v>375</v>
      </c>
      <c r="AA73" s="347"/>
      <c r="AC73"/>
      <c r="AD73"/>
      <c r="AE73"/>
      <c r="AF73"/>
      <c r="AG73"/>
      <c r="AH73"/>
      <c r="AI73"/>
      <c r="AJ73"/>
    </row>
    <row r="74" spans="2:146" s="10" customFormat="1" ht="5" customHeight="1">
      <c r="B74" s="26"/>
      <c r="C74" s="26"/>
      <c r="D74" s="26"/>
      <c r="E74" s="26"/>
      <c r="F74" s="26"/>
      <c r="G74" s="26"/>
      <c r="H74" s="26"/>
      <c r="I74" s="26"/>
      <c r="J74" s="26"/>
      <c r="K74" s="26"/>
      <c r="L74" s="26"/>
      <c r="M74" s="26"/>
      <c r="N74" s="26"/>
      <c r="O74" s="26"/>
      <c r="P74" s="26"/>
      <c r="Q74" s="26"/>
      <c r="R74" s="26"/>
      <c r="S74" s="26"/>
      <c r="T74" s="26"/>
      <c r="U74" s="26"/>
      <c r="V74" s="26"/>
      <c r="W74" s="26"/>
      <c r="X74" s="26"/>
      <c r="Y74" s="26"/>
      <c r="Z74" s="42"/>
      <c r="AA74" s="42"/>
      <c r="AB74" s="23"/>
      <c r="AC74"/>
      <c r="AD74"/>
      <c r="AE74"/>
      <c r="AF74"/>
      <c r="AG74"/>
      <c r="AH74"/>
      <c r="AI74"/>
      <c r="AJ74"/>
    </row>
    <row r="75" spans="2:146" s="10" customFormat="1" ht="81" customHeight="1">
      <c r="B75" s="388" t="s">
        <v>256</v>
      </c>
      <c r="C75" s="388"/>
      <c r="D75" s="388"/>
      <c r="E75" s="388"/>
      <c r="F75" s="388"/>
      <c r="G75" s="388"/>
      <c r="H75" s="388"/>
      <c r="I75" s="388"/>
      <c r="J75" s="388"/>
      <c r="K75" s="388"/>
      <c r="L75" s="388"/>
      <c r="M75" s="388"/>
      <c r="N75" s="388"/>
      <c r="O75" s="388"/>
      <c r="P75" s="388"/>
      <c r="Q75" s="388"/>
      <c r="R75" s="388"/>
      <c r="S75" s="388"/>
      <c r="T75" s="388"/>
      <c r="U75" s="388"/>
      <c r="V75" s="388"/>
      <c r="W75" s="388"/>
      <c r="X75" s="388"/>
      <c r="Y75" s="389"/>
      <c r="Z75" s="346" t="s">
        <v>375</v>
      </c>
      <c r="AA75" s="347"/>
      <c r="AB75" s="23"/>
      <c r="AC75"/>
      <c r="AD75"/>
      <c r="AE75"/>
      <c r="AF75"/>
      <c r="AG75"/>
      <c r="AH75"/>
      <c r="AI75"/>
      <c r="AJ75"/>
    </row>
    <row r="76" spans="2:146" s="10" customFormat="1" ht="5" customHeight="1">
      <c r="B76" s="27"/>
      <c r="C76" s="19"/>
      <c r="D76" s="19"/>
      <c r="E76" s="19"/>
      <c r="F76" s="19"/>
      <c r="G76" s="19"/>
      <c r="H76" s="19"/>
      <c r="I76" s="19"/>
      <c r="J76" s="19"/>
      <c r="K76" s="19"/>
      <c r="L76" s="19"/>
      <c r="M76" s="19"/>
      <c r="N76" s="19"/>
      <c r="O76" s="19"/>
      <c r="P76" s="19"/>
      <c r="Q76" s="19"/>
      <c r="R76" s="19"/>
      <c r="S76" s="19"/>
      <c r="T76" s="19"/>
      <c r="U76" s="19"/>
      <c r="V76" s="19"/>
      <c r="W76" s="19"/>
      <c r="X76" s="19"/>
      <c r="Y76" s="19"/>
      <c r="Z76" s="43"/>
      <c r="AA76" s="43"/>
      <c r="AB76" s="23"/>
      <c r="AC76"/>
      <c r="AD76"/>
      <c r="AE76"/>
      <c r="AF76"/>
      <c r="AG76"/>
      <c r="AH76"/>
      <c r="AI76"/>
      <c r="AJ76"/>
    </row>
    <row r="77" spans="2:146" s="10" customFormat="1" ht="37" customHeight="1">
      <c r="B77" s="400" t="s">
        <v>257</v>
      </c>
      <c r="C77" s="400"/>
      <c r="D77" s="400"/>
      <c r="E77" s="400"/>
      <c r="F77" s="400"/>
      <c r="G77" s="400"/>
      <c r="H77" s="400"/>
      <c r="I77" s="400"/>
      <c r="J77" s="400"/>
      <c r="K77" s="400"/>
      <c r="L77" s="400"/>
      <c r="M77" s="400"/>
      <c r="N77" s="400"/>
      <c r="O77" s="400"/>
      <c r="P77" s="400"/>
      <c r="Q77" s="400"/>
      <c r="R77" s="400"/>
      <c r="S77" s="400"/>
      <c r="T77" s="400"/>
      <c r="U77" s="400"/>
      <c r="V77" s="400"/>
      <c r="W77" s="400"/>
      <c r="X77" s="400"/>
      <c r="Y77" s="401"/>
      <c r="Z77" s="346" t="s">
        <v>375</v>
      </c>
      <c r="AA77" s="347"/>
      <c r="AB77" s="23"/>
      <c r="AC77"/>
      <c r="AD77"/>
      <c r="AE77"/>
      <c r="AF77"/>
      <c r="AG77"/>
      <c r="AH77"/>
      <c r="AI77"/>
      <c r="AJ77"/>
    </row>
    <row r="78" spans="2:146" s="10" customFormat="1" ht="5" customHeight="1">
      <c r="B78" s="19"/>
      <c r="C78" s="19"/>
      <c r="D78" s="19"/>
      <c r="E78" s="19"/>
      <c r="F78" s="19"/>
      <c r="G78" s="19"/>
      <c r="H78" s="19"/>
      <c r="I78" s="19"/>
      <c r="J78" s="19"/>
      <c r="K78" s="19"/>
      <c r="L78" s="19"/>
      <c r="M78" s="19"/>
      <c r="N78" s="19"/>
      <c r="O78" s="19"/>
      <c r="P78" s="19"/>
      <c r="Q78" s="19"/>
      <c r="R78" s="19"/>
      <c r="S78" s="19"/>
      <c r="T78" s="19"/>
      <c r="U78" s="19"/>
      <c r="V78" s="19"/>
      <c r="W78" s="19"/>
      <c r="X78" s="19"/>
      <c r="Y78" s="19"/>
      <c r="Z78" s="43"/>
      <c r="AA78" s="43"/>
      <c r="AB78" s="23"/>
      <c r="AC78"/>
      <c r="AD78"/>
      <c r="AE78"/>
      <c r="AF78"/>
      <c r="AG78"/>
      <c r="AH78"/>
      <c r="AI78"/>
      <c r="AJ78"/>
    </row>
    <row r="79" spans="2:146" s="8" customFormat="1" ht="25" customHeight="1">
      <c r="B79" s="388" t="s">
        <v>270</v>
      </c>
      <c r="C79" s="388"/>
      <c r="D79" s="388"/>
      <c r="E79" s="388"/>
      <c r="F79" s="388"/>
      <c r="G79" s="388"/>
      <c r="H79" s="388"/>
      <c r="I79" s="388"/>
      <c r="J79" s="388"/>
      <c r="K79" s="388"/>
      <c r="L79" s="388"/>
      <c r="M79" s="388"/>
      <c r="N79" s="388"/>
      <c r="O79" s="388"/>
      <c r="P79" s="388"/>
      <c r="Q79" s="388"/>
      <c r="R79" s="388"/>
      <c r="S79" s="388"/>
      <c r="T79" s="388"/>
      <c r="U79" s="388"/>
      <c r="V79" s="388"/>
      <c r="W79" s="388"/>
      <c r="X79" s="388"/>
      <c r="Y79" s="389"/>
      <c r="Z79" s="346" t="s">
        <v>375</v>
      </c>
      <c r="AA79" s="347"/>
      <c r="AB79" s="28"/>
      <c r="AC79"/>
      <c r="AD79"/>
      <c r="AE79"/>
      <c r="AF79"/>
      <c r="AG79"/>
      <c r="AH79"/>
      <c r="AI79"/>
      <c r="AJ79"/>
    </row>
    <row r="80" spans="2:146" s="10" customFormat="1" ht="5" customHeight="1">
      <c r="B80" s="19"/>
      <c r="C80" s="19"/>
      <c r="D80" s="19"/>
      <c r="E80" s="19"/>
      <c r="F80" s="19"/>
      <c r="G80" s="19"/>
      <c r="H80" s="19"/>
      <c r="I80" s="19"/>
      <c r="J80" s="19"/>
      <c r="K80" s="19"/>
      <c r="L80" s="19"/>
      <c r="M80" s="19"/>
      <c r="N80" s="19"/>
      <c r="O80" s="19"/>
      <c r="P80" s="19"/>
      <c r="Q80" s="19"/>
      <c r="R80" s="19"/>
      <c r="S80" s="19"/>
      <c r="T80" s="19"/>
      <c r="U80" s="19"/>
      <c r="V80" s="19"/>
      <c r="W80" s="19"/>
      <c r="X80" s="19"/>
      <c r="Y80" s="19"/>
      <c r="Z80" s="43"/>
      <c r="AA80" s="43"/>
      <c r="AB80" s="23"/>
      <c r="AC80"/>
      <c r="AD80"/>
      <c r="AE80"/>
      <c r="AF80"/>
      <c r="AG80"/>
      <c r="AH80"/>
      <c r="AI80"/>
      <c r="AJ80"/>
    </row>
    <row r="81" spans="2:146" s="10" customFormat="1" ht="37" customHeight="1">
      <c r="B81" s="388" t="s">
        <v>258</v>
      </c>
      <c r="C81" s="388"/>
      <c r="D81" s="388"/>
      <c r="E81" s="388"/>
      <c r="F81" s="388"/>
      <c r="G81" s="388"/>
      <c r="H81" s="388"/>
      <c r="I81" s="388"/>
      <c r="J81" s="388"/>
      <c r="K81" s="388"/>
      <c r="L81" s="388"/>
      <c r="M81" s="388"/>
      <c r="N81" s="388"/>
      <c r="O81" s="388"/>
      <c r="P81" s="388"/>
      <c r="Q81" s="388"/>
      <c r="R81" s="388"/>
      <c r="S81" s="388"/>
      <c r="T81" s="388"/>
      <c r="U81" s="388"/>
      <c r="V81" s="388"/>
      <c r="W81" s="388"/>
      <c r="X81" s="388"/>
      <c r="Y81" s="389"/>
      <c r="Z81" s="346" t="s">
        <v>375</v>
      </c>
      <c r="AA81" s="347"/>
      <c r="AB81" s="23"/>
      <c r="AC81"/>
      <c r="AD81"/>
      <c r="AE81"/>
      <c r="AF81"/>
      <c r="AG81"/>
      <c r="AH81"/>
      <c r="AI81"/>
      <c r="AJ81"/>
    </row>
    <row r="82" spans="2:146" s="10" customFormat="1" ht="5"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43"/>
      <c r="AA82" s="43"/>
      <c r="AB82" s="23"/>
      <c r="AC82"/>
      <c r="AD82"/>
      <c r="AE82"/>
      <c r="AF82"/>
      <c r="AG82"/>
      <c r="AH82"/>
      <c r="AI82"/>
      <c r="AJ82"/>
    </row>
    <row r="83" spans="2:146" s="10" customFormat="1" ht="60" customHeight="1">
      <c r="B83" s="388" t="s">
        <v>259</v>
      </c>
      <c r="C83" s="388"/>
      <c r="D83" s="388"/>
      <c r="E83" s="388"/>
      <c r="F83" s="388"/>
      <c r="G83" s="388"/>
      <c r="H83" s="388"/>
      <c r="I83" s="388"/>
      <c r="J83" s="388"/>
      <c r="K83" s="388"/>
      <c r="L83" s="388"/>
      <c r="M83" s="388"/>
      <c r="N83" s="388"/>
      <c r="O83" s="388"/>
      <c r="P83" s="388"/>
      <c r="Q83" s="388"/>
      <c r="R83" s="388"/>
      <c r="S83" s="388"/>
      <c r="T83" s="388"/>
      <c r="U83" s="388"/>
      <c r="V83" s="388"/>
      <c r="W83" s="388"/>
      <c r="X83" s="388"/>
      <c r="Y83" s="389"/>
      <c r="Z83" s="346" t="s">
        <v>375</v>
      </c>
      <c r="AA83" s="347"/>
      <c r="AB83" s="23"/>
      <c r="AC83"/>
      <c r="AD83"/>
      <c r="AE83"/>
      <c r="AF83"/>
      <c r="AG83"/>
      <c r="AH83"/>
      <c r="AI83"/>
      <c r="AJ83"/>
    </row>
    <row r="84" spans="2:146" s="10" customFormat="1" ht="5"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43"/>
      <c r="AA84" s="43"/>
      <c r="AB84" s="23"/>
      <c r="AC84"/>
      <c r="AD84"/>
      <c r="AE84"/>
      <c r="AF84"/>
      <c r="AG84"/>
      <c r="AH84"/>
      <c r="AI84"/>
      <c r="AJ84"/>
    </row>
    <row r="85" spans="2:146" s="10" customFormat="1" ht="48" customHeight="1">
      <c r="B85" s="388" t="s">
        <v>271</v>
      </c>
      <c r="C85" s="388"/>
      <c r="D85" s="388"/>
      <c r="E85" s="388"/>
      <c r="F85" s="388"/>
      <c r="G85" s="388"/>
      <c r="H85" s="388"/>
      <c r="I85" s="388"/>
      <c r="J85" s="388"/>
      <c r="K85" s="388"/>
      <c r="L85" s="388"/>
      <c r="M85" s="388"/>
      <c r="N85" s="388"/>
      <c r="O85" s="388"/>
      <c r="P85" s="388"/>
      <c r="Q85" s="388"/>
      <c r="R85" s="388"/>
      <c r="S85" s="388"/>
      <c r="T85" s="388"/>
      <c r="U85" s="388"/>
      <c r="V85" s="388"/>
      <c r="W85" s="388"/>
      <c r="X85" s="388"/>
      <c r="Y85" s="389"/>
      <c r="Z85" s="346" t="s">
        <v>375</v>
      </c>
      <c r="AA85" s="347"/>
      <c r="AB85" s="23"/>
      <c r="AC85"/>
      <c r="AD85"/>
      <c r="AE85"/>
      <c r="AF85"/>
      <c r="AG85"/>
      <c r="AH85"/>
      <c r="AI85"/>
      <c r="AJ85"/>
    </row>
    <row r="86" spans="2:146" s="10" customFormat="1" ht="5" customHeight="1">
      <c r="B86" s="92"/>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23"/>
      <c r="AC86"/>
      <c r="AD86"/>
      <c r="AE86"/>
      <c r="AF86"/>
      <c r="AG86"/>
      <c r="AH86"/>
      <c r="AI86"/>
      <c r="AJ86"/>
    </row>
    <row r="87" spans="2:146" s="10" customFormat="1" ht="26" customHeight="1">
      <c r="B87" s="398" t="s">
        <v>293</v>
      </c>
      <c r="C87" s="398"/>
      <c r="D87" s="398"/>
      <c r="E87" s="398"/>
      <c r="F87" s="398"/>
      <c r="G87" s="398"/>
      <c r="H87" s="398"/>
      <c r="I87" s="398"/>
      <c r="J87" s="398"/>
      <c r="K87" s="398"/>
      <c r="L87" s="398"/>
      <c r="M87" s="398"/>
      <c r="N87" s="398"/>
      <c r="O87" s="398"/>
      <c r="P87" s="398"/>
      <c r="Q87" s="398"/>
      <c r="R87" s="398"/>
      <c r="S87" s="398"/>
      <c r="T87" s="398"/>
      <c r="U87" s="398"/>
      <c r="V87" s="398"/>
      <c r="W87" s="398"/>
      <c r="X87" s="398"/>
      <c r="Y87" s="399"/>
      <c r="Z87" s="346" t="s">
        <v>375</v>
      </c>
      <c r="AA87" s="347"/>
      <c r="AB87" s="23"/>
      <c r="AC87"/>
      <c r="AD87"/>
      <c r="AE87"/>
      <c r="AF87"/>
      <c r="AG87"/>
      <c r="AH87"/>
      <c r="AI87"/>
      <c r="AJ87"/>
    </row>
    <row r="88" spans="2:146" s="10" customFormat="1" ht="5" customHeight="1">
      <c r="B88" s="27"/>
      <c r="C88" s="19"/>
      <c r="D88" s="19"/>
      <c r="E88" s="19"/>
      <c r="F88" s="19"/>
      <c r="G88" s="19"/>
      <c r="H88" s="19"/>
      <c r="I88" s="19"/>
      <c r="J88" s="19"/>
      <c r="K88" s="19"/>
      <c r="L88" s="19"/>
      <c r="M88" s="19"/>
      <c r="N88" s="19"/>
      <c r="O88" s="19"/>
      <c r="P88" s="19"/>
      <c r="Q88" s="19"/>
      <c r="R88" s="19"/>
      <c r="S88" s="19"/>
      <c r="T88" s="19"/>
      <c r="U88" s="19"/>
      <c r="V88" s="19"/>
      <c r="W88" s="19"/>
      <c r="X88" s="19"/>
      <c r="Y88" s="19"/>
      <c r="Z88" s="43"/>
      <c r="AA88" s="43"/>
      <c r="AB88" s="23"/>
      <c r="AC88"/>
      <c r="AD88"/>
      <c r="AE88"/>
      <c r="AF88"/>
      <c r="AG88"/>
      <c r="AH88"/>
      <c r="AI88"/>
      <c r="AJ88"/>
    </row>
    <row r="89" spans="2:146" s="10" customFormat="1" ht="59" customHeight="1">
      <c r="B89" s="400" t="s">
        <v>272</v>
      </c>
      <c r="C89" s="400"/>
      <c r="D89" s="400"/>
      <c r="E89" s="400"/>
      <c r="F89" s="400"/>
      <c r="G89" s="400"/>
      <c r="H89" s="400"/>
      <c r="I89" s="400"/>
      <c r="J89" s="400"/>
      <c r="K89" s="400"/>
      <c r="L89" s="400"/>
      <c r="M89" s="400"/>
      <c r="N89" s="400"/>
      <c r="O89" s="400"/>
      <c r="P89" s="400"/>
      <c r="Q89" s="400"/>
      <c r="R89" s="400"/>
      <c r="S89" s="400"/>
      <c r="T89" s="400"/>
      <c r="U89" s="400"/>
      <c r="V89" s="400"/>
      <c r="W89" s="400"/>
      <c r="X89" s="400"/>
      <c r="Y89" s="401"/>
      <c r="Z89" s="346" t="s">
        <v>375</v>
      </c>
      <c r="AA89" s="347"/>
      <c r="AB89" s="23"/>
      <c r="AC89"/>
      <c r="AD89"/>
      <c r="AE89"/>
      <c r="AF89"/>
      <c r="AG89"/>
      <c r="AH89"/>
      <c r="AI89"/>
      <c r="AJ89"/>
    </row>
    <row r="90" spans="2:146" s="10" customFormat="1" ht="5" customHeight="1">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23"/>
      <c r="AC90"/>
      <c r="AD90"/>
      <c r="AE90"/>
      <c r="AF90"/>
      <c r="AG90"/>
      <c r="AH90"/>
      <c r="AI90"/>
      <c r="AJ90"/>
    </row>
    <row r="91" spans="2:146" s="10" customFormat="1" ht="36" customHeight="1">
      <c r="B91" s="398" t="s">
        <v>276</v>
      </c>
      <c r="C91" s="398"/>
      <c r="D91" s="398"/>
      <c r="E91" s="398"/>
      <c r="F91" s="398"/>
      <c r="G91" s="398"/>
      <c r="H91" s="398"/>
      <c r="I91" s="398"/>
      <c r="J91" s="398"/>
      <c r="K91" s="398"/>
      <c r="L91" s="398"/>
      <c r="M91" s="398"/>
      <c r="N91" s="398"/>
      <c r="O91" s="398"/>
      <c r="P91" s="398"/>
      <c r="Q91" s="398"/>
      <c r="R91" s="398"/>
      <c r="S91" s="398"/>
      <c r="T91" s="398"/>
      <c r="U91" s="398"/>
      <c r="V91" s="398"/>
      <c r="W91" s="398"/>
      <c r="X91" s="398"/>
      <c r="Y91" s="398"/>
      <c r="Z91" s="346" t="s">
        <v>375</v>
      </c>
      <c r="AA91" s="347"/>
      <c r="AB91" s="23"/>
      <c r="AC91"/>
      <c r="AD91"/>
      <c r="AE91"/>
      <c r="AF91"/>
      <c r="AG91"/>
      <c r="AH91"/>
      <c r="AI91"/>
      <c r="AJ91"/>
    </row>
    <row r="92" spans="2:146" s="29" customFormat="1" ht="2" customHeight="1">
      <c r="B92" s="30"/>
      <c r="C92" s="31"/>
      <c r="D92" s="31"/>
      <c r="E92" s="31"/>
      <c r="F92" s="31"/>
      <c r="G92" s="31"/>
      <c r="H92" s="31"/>
      <c r="I92" s="31"/>
      <c r="J92" s="31"/>
      <c r="K92" s="31"/>
      <c r="L92" s="31"/>
      <c r="M92" s="31"/>
      <c r="N92" s="31"/>
      <c r="O92" s="31"/>
      <c r="P92" s="32"/>
      <c r="Q92" s="32"/>
      <c r="R92" s="33"/>
      <c r="S92" s="33"/>
      <c r="T92" s="33"/>
      <c r="U92" s="33"/>
      <c r="V92" s="33"/>
      <c r="W92" s="32"/>
      <c r="X92" s="33"/>
      <c r="Y92" s="33"/>
      <c r="Z92" s="33"/>
      <c r="AA92" s="33"/>
      <c r="AB92" s="34"/>
      <c r="AC92"/>
      <c r="AD92"/>
      <c r="AE92"/>
      <c r="AF92"/>
      <c r="AG92"/>
      <c r="AH92"/>
      <c r="AI92"/>
      <c r="AJ92"/>
    </row>
    <row r="93" spans="2:146" s="35" customFormat="1" ht="1" customHeight="1">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c r="AD93"/>
      <c r="AE93"/>
      <c r="AF93"/>
      <c r="AG93"/>
      <c r="AH93"/>
      <c r="AI93"/>
      <c r="AJ93"/>
    </row>
    <row r="94" spans="2:146" s="18" customFormat="1" ht="21" customHeight="1">
      <c r="B94" s="396" t="s">
        <v>147</v>
      </c>
      <c r="C94" s="397"/>
      <c r="D94" s="397"/>
      <c r="E94" s="397"/>
      <c r="F94" s="397"/>
      <c r="G94" s="397"/>
      <c r="H94" s="397"/>
      <c r="I94" s="397"/>
      <c r="J94" s="397"/>
      <c r="K94" s="397"/>
      <c r="L94" s="397"/>
      <c r="M94" s="397"/>
      <c r="N94" s="397"/>
      <c r="O94" s="397"/>
      <c r="P94" s="444" t="str">
        <f>IF((COUNT(B22,B25:AA25))&gt;1,"EVENT ID #: "&amp;"S-"&amp;IF($B22&gt;0,(CONCATENATE(TEXT('FACT 1'!$B$102,"yymmdd"),'FACT 1'!$F$102,'FACT 1'!$AC$102,'FACT 1'!$AB$97))," "),IF($B22&gt;0,"EVENT ID #: "&amp;(CONCATENATE(TEXT('FACT 1'!$B$102,"yymmdd"),'FACT 1'!$F$102,'FACT 1'!$AC$102,'FACT 1'!$AB$97)),""))</f>
        <v>EVENT ID #: 160621LRTAR</v>
      </c>
      <c r="Q94" s="444"/>
      <c r="R94" s="444"/>
      <c r="S94" s="444"/>
      <c r="T94" s="444"/>
      <c r="U94" s="444"/>
      <c r="V94" s="444"/>
      <c r="W94" s="444"/>
      <c r="X94" s="444"/>
      <c r="Y94" s="444"/>
      <c r="Z94" s="444"/>
      <c r="AA94" s="445"/>
      <c r="AC94"/>
      <c r="AD94"/>
      <c r="AE94"/>
      <c r="AF94"/>
      <c r="AG94"/>
      <c r="AH94"/>
      <c r="AI94"/>
      <c r="AJ94"/>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row>
    <row r="95" spans="2:146" s="10" customFormat="1" ht="2" customHeight="1">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3"/>
      <c r="AC95"/>
      <c r="AD95"/>
      <c r="AE95"/>
      <c r="AF95"/>
      <c r="AG95"/>
      <c r="AH95"/>
      <c r="AI95"/>
      <c r="AJ95"/>
    </row>
    <row r="96" spans="2:146" s="10" customFormat="1" ht="105" customHeight="1">
      <c r="B96" s="394" t="s">
        <v>279</v>
      </c>
      <c r="C96" s="395"/>
      <c r="D96" s="395"/>
      <c r="E96" s="395"/>
      <c r="F96" s="395"/>
      <c r="G96" s="395"/>
      <c r="H96" s="395"/>
      <c r="I96" s="395"/>
      <c r="J96" s="395"/>
      <c r="K96" s="395"/>
      <c r="L96" s="395"/>
      <c r="M96" s="395"/>
      <c r="N96" s="395"/>
      <c r="O96" s="395"/>
      <c r="P96" s="395"/>
      <c r="Q96" s="395"/>
      <c r="R96" s="395"/>
      <c r="S96" s="395"/>
      <c r="T96" s="395"/>
      <c r="U96" s="395"/>
      <c r="V96" s="395"/>
      <c r="W96" s="395"/>
      <c r="X96" s="395"/>
      <c r="Y96" s="395"/>
      <c r="Z96" s="395"/>
      <c r="AA96" s="395"/>
      <c r="AB96" s="23"/>
      <c r="AC96"/>
      <c r="AD96"/>
      <c r="AE96"/>
      <c r="AF96"/>
      <c r="AG96"/>
      <c r="AH96"/>
      <c r="AI96"/>
      <c r="AJ96"/>
    </row>
    <row r="97" spans="2:36" s="10" customFormat="1" ht="5" customHeight="1">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23"/>
      <c r="AC97"/>
      <c r="AD97"/>
      <c r="AE97"/>
      <c r="AF97"/>
      <c r="AG97"/>
      <c r="AH97"/>
      <c r="AI97"/>
      <c r="AJ97"/>
    </row>
    <row r="98" spans="2:36" s="10" customFormat="1" ht="60" customHeight="1">
      <c r="B98" s="390" t="s">
        <v>277</v>
      </c>
      <c r="C98" s="390"/>
      <c r="D98" s="390"/>
      <c r="E98" s="390"/>
      <c r="F98" s="390"/>
      <c r="G98" s="390"/>
      <c r="H98" s="390"/>
      <c r="I98" s="390"/>
      <c r="J98" s="390"/>
      <c r="K98" s="390"/>
      <c r="L98" s="390"/>
      <c r="M98" s="390"/>
      <c r="N98" s="390"/>
      <c r="O98" s="390"/>
      <c r="P98" s="390"/>
      <c r="Q98" s="390"/>
      <c r="R98" s="390"/>
      <c r="S98" s="390"/>
      <c r="T98" s="390"/>
      <c r="U98" s="390"/>
      <c r="V98" s="390"/>
      <c r="W98" s="390"/>
      <c r="X98" s="390"/>
      <c r="Y98" s="390"/>
      <c r="Z98" s="390"/>
      <c r="AA98" s="390"/>
      <c r="AB98" s="23"/>
      <c r="AC98"/>
      <c r="AD98"/>
      <c r="AE98"/>
      <c r="AF98"/>
      <c r="AG98"/>
      <c r="AH98"/>
      <c r="AI98"/>
      <c r="AJ98"/>
    </row>
    <row r="99" spans="2:36" s="10" customFormat="1" ht="5" customHeight="1">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23"/>
      <c r="AC99"/>
      <c r="AD99"/>
      <c r="AE99"/>
      <c r="AF99"/>
      <c r="AG99"/>
      <c r="AH99"/>
      <c r="AI99"/>
      <c r="AJ99"/>
    </row>
    <row r="100" spans="2:36" s="10" customFormat="1" ht="116" customHeight="1">
      <c r="B100" s="394" t="s">
        <v>278</v>
      </c>
      <c r="C100" s="394"/>
      <c r="D100" s="394"/>
      <c r="E100" s="394"/>
      <c r="F100" s="394"/>
      <c r="G100" s="394"/>
      <c r="H100" s="394"/>
      <c r="I100" s="394"/>
      <c r="J100" s="394"/>
      <c r="K100" s="394"/>
      <c r="L100" s="394"/>
      <c r="M100" s="394"/>
      <c r="N100" s="394"/>
      <c r="O100" s="394"/>
      <c r="P100" s="394"/>
      <c r="Q100" s="394"/>
      <c r="R100" s="394"/>
      <c r="S100" s="394"/>
      <c r="T100" s="394"/>
      <c r="U100" s="394"/>
      <c r="V100" s="394"/>
      <c r="W100" s="394"/>
      <c r="X100" s="394"/>
      <c r="Y100" s="394"/>
      <c r="Z100" s="394"/>
      <c r="AA100" s="394"/>
      <c r="AB100" s="23"/>
      <c r="AC100"/>
      <c r="AD100"/>
      <c r="AE100"/>
      <c r="AF100"/>
      <c r="AG100"/>
      <c r="AH100"/>
      <c r="AI100"/>
      <c r="AJ100"/>
    </row>
    <row r="101" spans="2:36" s="10" customFormat="1" ht="5" customHeight="1">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23"/>
      <c r="AC101"/>
      <c r="AD101"/>
      <c r="AE101"/>
      <c r="AF101"/>
      <c r="AG101"/>
      <c r="AH101"/>
      <c r="AI101"/>
      <c r="AJ101"/>
    </row>
    <row r="102" spans="2:36" s="10" customFormat="1" ht="105" customHeight="1">
      <c r="B102" s="394" t="s">
        <v>260</v>
      </c>
      <c r="C102" s="394"/>
      <c r="D102" s="394"/>
      <c r="E102" s="394"/>
      <c r="F102" s="394"/>
      <c r="G102" s="394"/>
      <c r="H102" s="394"/>
      <c r="I102" s="394"/>
      <c r="J102" s="394"/>
      <c r="K102" s="394"/>
      <c r="L102" s="394"/>
      <c r="M102" s="394"/>
      <c r="N102" s="394"/>
      <c r="O102" s="394"/>
      <c r="P102" s="394"/>
      <c r="Q102" s="394"/>
      <c r="R102" s="394"/>
      <c r="S102" s="394"/>
      <c r="T102" s="394"/>
      <c r="U102" s="394"/>
      <c r="V102" s="394"/>
      <c r="W102" s="394"/>
      <c r="X102" s="394"/>
      <c r="Y102" s="394"/>
      <c r="Z102" s="394"/>
      <c r="AA102" s="394"/>
      <c r="AB102" s="23"/>
      <c r="AC102"/>
      <c r="AD102"/>
      <c r="AE102"/>
      <c r="AF102"/>
      <c r="AG102"/>
      <c r="AH102"/>
      <c r="AI102"/>
      <c r="AJ102"/>
    </row>
    <row r="103" spans="2:36" s="10" customFormat="1" ht="5" customHeight="1">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23"/>
      <c r="AC103"/>
      <c r="AD103"/>
      <c r="AE103"/>
      <c r="AF103"/>
      <c r="AG103"/>
      <c r="AH103"/>
      <c r="AI103"/>
      <c r="AJ103"/>
    </row>
    <row r="104" spans="2:36" s="10" customFormat="1" ht="25" customHeight="1">
      <c r="B104" s="393" t="s">
        <v>261</v>
      </c>
      <c r="C104" s="393"/>
      <c r="D104" s="393"/>
      <c r="E104" s="393"/>
      <c r="F104" s="393"/>
      <c r="G104" s="393"/>
      <c r="H104" s="393"/>
      <c r="I104" s="393"/>
      <c r="J104" s="393"/>
      <c r="K104" s="393"/>
      <c r="L104" s="393"/>
      <c r="M104" s="393"/>
      <c r="N104" s="393"/>
      <c r="O104" s="393"/>
      <c r="P104" s="393"/>
      <c r="Q104" s="393"/>
      <c r="R104" s="393"/>
      <c r="S104" s="393"/>
      <c r="T104" s="393"/>
      <c r="U104" s="393"/>
      <c r="V104" s="393"/>
      <c r="W104" s="393"/>
      <c r="X104" s="393"/>
      <c r="Y104" s="393"/>
      <c r="Z104" s="393"/>
      <c r="AA104" s="393"/>
      <c r="AB104" s="23"/>
      <c r="AC104"/>
      <c r="AD104"/>
      <c r="AE104"/>
      <c r="AF104"/>
      <c r="AG104"/>
      <c r="AH104"/>
      <c r="AI104"/>
      <c r="AJ104"/>
    </row>
    <row r="105" spans="2:36" s="10" customFormat="1" ht="5" customHeight="1">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23"/>
      <c r="AC105"/>
      <c r="AD105"/>
      <c r="AE105"/>
      <c r="AF105"/>
      <c r="AG105"/>
      <c r="AH105"/>
      <c r="AI105"/>
      <c r="AJ105"/>
    </row>
    <row r="106" spans="2:36" s="10" customFormat="1" ht="59" customHeight="1">
      <c r="B106" s="394" t="s">
        <v>262</v>
      </c>
      <c r="C106" s="394"/>
      <c r="D106" s="394"/>
      <c r="E106" s="394"/>
      <c r="F106" s="394"/>
      <c r="G106" s="394"/>
      <c r="H106" s="394"/>
      <c r="I106" s="394"/>
      <c r="J106" s="394"/>
      <c r="K106" s="394"/>
      <c r="L106" s="394"/>
      <c r="M106" s="394"/>
      <c r="N106" s="394"/>
      <c r="O106" s="394"/>
      <c r="P106" s="394"/>
      <c r="Q106" s="394"/>
      <c r="R106" s="394"/>
      <c r="S106" s="394"/>
      <c r="T106" s="394"/>
      <c r="U106" s="394"/>
      <c r="V106" s="394"/>
      <c r="W106" s="394"/>
      <c r="X106" s="394"/>
      <c r="Y106" s="394"/>
      <c r="Z106" s="394"/>
      <c r="AA106" s="394"/>
      <c r="AB106" s="23"/>
      <c r="AC106"/>
      <c r="AD106"/>
      <c r="AE106"/>
      <c r="AF106"/>
      <c r="AG106"/>
      <c r="AH106"/>
      <c r="AI106"/>
      <c r="AJ106"/>
    </row>
    <row r="107" spans="2:36" s="10" customFormat="1" ht="5" customHeight="1">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23"/>
      <c r="AC107"/>
      <c r="AD107"/>
      <c r="AE107"/>
      <c r="AF107"/>
      <c r="AG107"/>
      <c r="AH107"/>
      <c r="AI107"/>
      <c r="AJ107"/>
    </row>
    <row r="108" spans="2:36" s="10" customFormat="1" ht="50" customHeight="1">
      <c r="B108" s="393" t="s">
        <v>263</v>
      </c>
      <c r="C108" s="393"/>
      <c r="D108" s="393"/>
      <c r="E108" s="393"/>
      <c r="F108" s="393"/>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23"/>
      <c r="AC108"/>
      <c r="AD108"/>
      <c r="AE108"/>
      <c r="AF108"/>
      <c r="AG108"/>
      <c r="AH108"/>
      <c r="AI108"/>
      <c r="AJ108"/>
    </row>
    <row r="109" spans="2:36" s="10" customFormat="1" ht="5" customHeight="1">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23"/>
      <c r="AC109"/>
      <c r="AD109"/>
      <c r="AE109"/>
      <c r="AF109"/>
      <c r="AG109"/>
      <c r="AH109"/>
      <c r="AI109"/>
      <c r="AJ109"/>
    </row>
    <row r="110" spans="2:36" s="10" customFormat="1" ht="27" customHeight="1">
      <c r="B110" s="393" t="s">
        <v>264</v>
      </c>
      <c r="C110" s="393"/>
      <c r="D110" s="393"/>
      <c r="E110" s="393"/>
      <c r="F110" s="393"/>
      <c r="G110" s="393"/>
      <c r="H110" s="393"/>
      <c r="I110" s="393"/>
      <c r="J110" s="393"/>
      <c r="K110" s="393"/>
      <c r="L110" s="393"/>
      <c r="M110" s="393"/>
      <c r="N110" s="393"/>
      <c r="O110" s="393"/>
      <c r="P110" s="393"/>
      <c r="Q110" s="393"/>
      <c r="R110" s="393"/>
      <c r="S110" s="393"/>
      <c r="T110" s="393"/>
      <c r="U110" s="393"/>
      <c r="V110" s="393"/>
      <c r="W110" s="393"/>
      <c r="X110" s="393"/>
      <c r="Y110" s="393"/>
      <c r="Z110" s="393"/>
      <c r="AA110" s="393"/>
      <c r="AB110" s="23"/>
      <c r="AC110"/>
      <c r="AD110"/>
      <c r="AE110"/>
      <c r="AF110"/>
      <c r="AG110"/>
      <c r="AH110"/>
      <c r="AI110"/>
      <c r="AJ110"/>
    </row>
    <row r="111" spans="2:36" s="10" customFormat="1" ht="5" customHeight="1">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23"/>
      <c r="AC111"/>
      <c r="AD111"/>
      <c r="AE111"/>
      <c r="AF111"/>
      <c r="AG111"/>
      <c r="AH111"/>
      <c r="AI111"/>
      <c r="AJ111"/>
    </row>
    <row r="112" spans="2:36" s="10" customFormat="1" ht="15" customHeight="1">
      <c r="B112" s="394" t="s">
        <v>265</v>
      </c>
      <c r="C112" s="394"/>
      <c r="D112" s="394"/>
      <c r="E112" s="394"/>
      <c r="F112" s="394"/>
      <c r="G112" s="394"/>
      <c r="H112" s="394"/>
      <c r="I112" s="394"/>
      <c r="J112" s="394"/>
      <c r="K112" s="394"/>
      <c r="L112" s="394"/>
      <c r="M112" s="394"/>
      <c r="N112" s="394"/>
      <c r="O112" s="394"/>
      <c r="P112" s="394"/>
      <c r="Q112" s="394"/>
      <c r="R112" s="394"/>
      <c r="S112" s="394"/>
      <c r="T112" s="394"/>
      <c r="U112" s="394"/>
      <c r="V112" s="394"/>
      <c r="W112" s="394"/>
      <c r="X112" s="394"/>
      <c r="Y112" s="394"/>
      <c r="Z112" s="394"/>
      <c r="AA112" s="394"/>
      <c r="AB112" s="23"/>
      <c r="AC112"/>
      <c r="AD112"/>
      <c r="AE112"/>
      <c r="AF112"/>
      <c r="AG112"/>
      <c r="AH112"/>
      <c r="AI112"/>
      <c r="AJ112"/>
    </row>
    <row r="113" spans="1:36" s="10" customFormat="1" ht="5" customHeight="1">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C113"/>
      <c r="AD113"/>
      <c r="AE113"/>
      <c r="AF113"/>
      <c r="AG113"/>
      <c r="AH113"/>
      <c r="AI113"/>
      <c r="AJ113"/>
    </row>
    <row r="114" spans="1:36" s="10" customFormat="1" ht="15" customHeight="1">
      <c r="A114" s="12"/>
      <c r="B114" s="394" t="s">
        <v>266</v>
      </c>
      <c r="C114" s="394"/>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C114"/>
      <c r="AD114"/>
      <c r="AE114"/>
      <c r="AF114"/>
      <c r="AG114"/>
      <c r="AH114"/>
      <c r="AI114"/>
      <c r="AJ114"/>
    </row>
    <row r="115" spans="1:36" s="10" customFormat="1" ht="2" customHeight="1" thickBot="1">
      <c r="A115" s="3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C115"/>
      <c r="AD115"/>
      <c r="AE115"/>
      <c r="AF115"/>
      <c r="AG115"/>
      <c r="AH115"/>
      <c r="AI115"/>
      <c r="AJ115"/>
    </row>
    <row r="116" spans="1:36" s="10" customFormat="1" ht="10" customHeight="1" thickTop="1">
      <c r="A116" s="46"/>
      <c r="B116" s="455"/>
      <c r="C116" s="455"/>
      <c r="D116" s="455"/>
      <c r="E116" s="455"/>
      <c r="F116" s="455"/>
      <c r="G116" s="455"/>
      <c r="H116" s="455"/>
      <c r="I116" s="455"/>
      <c r="J116" s="455"/>
      <c r="K116" s="455"/>
      <c r="L116" s="455"/>
      <c r="M116" s="455"/>
      <c r="N116" s="456"/>
      <c r="O116" s="457"/>
      <c r="P116" s="455"/>
      <c r="Q116" s="455"/>
      <c r="R116" s="455"/>
      <c r="S116" s="455"/>
      <c r="T116" s="455"/>
      <c r="U116" s="455"/>
      <c r="V116" s="455"/>
      <c r="W116" s="455"/>
      <c r="X116" s="455"/>
      <c r="Y116" s="455"/>
      <c r="Z116" s="455"/>
      <c r="AA116" s="455"/>
      <c r="AC116"/>
      <c r="AD116"/>
      <c r="AE116"/>
      <c r="AF116"/>
      <c r="AG116"/>
      <c r="AH116"/>
      <c r="AI116"/>
      <c r="AJ116"/>
    </row>
    <row r="117" spans="1:36" s="10" customFormat="1" ht="41" customHeight="1">
      <c r="A117" s="47"/>
      <c r="B117" s="386"/>
      <c r="C117" s="386"/>
      <c r="D117" s="386"/>
      <c r="E117" s="386"/>
      <c r="F117" s="386"/>
      <c r="G117" s="386"/>
      <c r="H117" s="386"/>
      <c r="I117" s="386"/>
      <c r="J117" s="386"/>
      <c r="K117" s="387"/>
      <c r="L117" s="385"/>
      <c r="M117" s="386"/>
      <c r="N117" s="387"/>
      <c r="O117" s="385"/>
      <c r="P117" s="386"/>
      <c r="Q117" s="386"/>
      <c r="R117" s="386"/>
      <c r="S117" s="386"/>
      <c r="T117" s="386"/>
      <c r="U117" s="386"/>
      <c r="V117" s="386"/>
      <c r="W117" s="387"/>
      <c r="X117" s="454"/>
      <c r="Y117" s="454"/>
      <c r="Z117" s="454"/>
      <c r="AA117" s="385"/>
      <c r="AC117"/>
      <c r="AD117"/>
      <c r="AE117"/>
      <c r="AF117"/>
      <c r="AG117"/>
      <c r="AH117"/>
      <c r="AI117"/>
      <c r="AJ117"/>
    </row>
    <row r="118" spans="1:36" s="38" customFormat="1" ht="9" customHeight="1">
      <c r="A118" s="48"/>
      <c r="B118" s="383" t="s">
        <v>140</v>
      </c>
      <c r="C118" s="383"/>
      <c r="D118" s="383"/>
      <c r="E118" s="383"/>
      <c r="F118" s="383"/>
      <c r="G118" s="383"/>
      <c r="H118" s="383"/>
      <c r="I118" s="383"/>
      <c r="J118" s="383"/>
      <c r="K118" s="384"/>
      <c r="L118" s="405" t="s">
        <v>138</v>
      </c>
      <c r="M118" s="383"/>
      <c r="N118" s="384"/>
      <c r="O118" s="405" t="s">
        <v>139</v>
      </c>
      <c r="P118" s="383"/>
      <c r="Q118" s="383"/>
      <c r="R118" s="383"/>
      <c r="S118" s="383"/>
      <c r="T118" s="383"/>
      <c r="U118" s="383"/>
      <c r="V118" s="383"/>
      <c r="W118" s="384"/>
      <c r="X118" s="453" t="s">
        <v>138</v>
      </c>
      <c r="Y118" s="453"/>
      <c r="Z118" s="453"/>
      <c r="AA118" s="405"/>
      <c r="AC118"/>
      <c r="AD118"/>
      <c r="AE118"/>
      <c r="AF118"/>
      <c r="AG118"/>
      <c r="AH118"/>
      <c r="AI118"/>
      <c r="AJ118"/>
    </row>
    <row r="119" spans="1:36" s="10" customFormat="1" ht="2" customHeight="1">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C119"/>
      <c r="AD119"/>
      <c r="AE119"/>
      <c r="AF119"/>
      <c r="AG119"/>
      <c r="AH119"/>
      <c r="AI119"/>
      <c r="AJ119"/>
    </row>
    <row r="120" spans="1:36" s="217" customFormat="1" ht="14" hidden="1" customHeight="1">
      <c r="B120" s="218"/>
      <c r="C120" s="218"/>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c r="AA120" s="218"/>
      <c r="AC120"/>
      <c r="AD120"/>
      <c r="AE120"/>
      <c r="AF120"/>
      <c r="AG120"/>
      <c r="AH120"/>
      <c r="AI120"/>
      <c r="AJ120"/>
    </row>
    <row r="121" spans="1:36" s="217" customFormat="1" ht="14" hidden="1" customHeight="1">
      <c r="B121" s="218"/>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c r="AA121" s="218"/>
      <c r="AC121"/>
      <c r="AD121"/>
      <c r="AE121"/>
      <c r="AF121"/>
      <c r="AG121"/>
      <c r="AH121"/>
      <c r="AI121"/>
      <c r="AJ121"/>
    </row>
    <row r="122" spans="1:36" s="217" customFormat="1" ht="14" hidden="1" customHeight="1">
      <c r="B122" s="218"/>
      <c r="C122" s="218"/>
      <c r="D122" s="218"/>
      <c r="E122" s="218"/>
      <c r="F122" s="218"/>
      <c r="G122" s="218"/>
      <c r="H122" s="218"/>
      <c r="I122" s="218"/>
      <c r="J122" s="218"/>
      <c r="K122" s="218"/>
      <c r="L122" s="218"/>
      <c r="M122" s="218"/>
      <c r="N122" s="218"/>
      <c r="O122" s="218"/>
      <c r="P122" s="218"/>
      <c r="Q122" s="218"/>
      <c r="R122" s="218"/>
      <c r="S122" s="218"/>
      <c r="T122" s="218"/>
      <c r="U122" s="218"/>
      <c r="V122" s="218"/>
      <c r="W122" s="218"/>
      <c r="X122" s="218"/>
      <c r="Y122" s="218"/>
      <c r="Z122" s="218"/>
      <c r="AA122" s="218"/>
      <c r="AC122"/>
      <c r="AD122"/>
      <c r="AE122"/>
      <c r="AF122"/>
      <c r="AG122"/>
      <c r="AH122"/>
      <c r="AI122"/>
      <c r="AJ122"/>
    </row>
    <row r="123" spans="1:36" s="217" customFormat="1" ht="14" hidden="1" customHeight="1">
      <c r="B123" s="218"/>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c r="AA123" s="218"/>
      <c r="AC123"/>
      <c r="AD123"/>
      <c r="AE123"/>
      <c r="AF123"/>
      <c r="AG123"/>
      <c r="AH123"/>
      <c r="AI123"/>
      <c r="AJ123"/>
    </row>
    <row r="124" spans="1:36" s="217" customFormat="1" ht="14" hidden="1" customHeight="1">
      <c r="B124" s="218"/>
      <c r="C124" s="218"/>
      <c r="D124" s="218"/>
      <c r="E124" s="218"/>
      <c r="F124" s="218"/>
      <c r="G124" s="218"/>
      <c r="H124" s="218"/>
      <c r="I124" s="218"/>
      <c r="J124" s="218"/>
      <c r="K124" s="218"/>
      <c r="L124" s="218"/>
      <c r="M124" s="218"/>
      <c r="N124" s="218"/>
      <c r="O124" s="218"/>
      <c r="P124" s="218"/>
      <c r="Q124" s="218"/>
      <c r="R124" s="218"/>
      <c r="S124" s="218"/>
      <c r="T124" s="218"/>
      <c r="U124" s="218"/>
      <c r="V124" s="218"/>
      <c r="W124" s="218"/>
      <c r="X124" s="218"/>
      <c r="Y124" s="218" t="str">
        <f>IF(AGREEMENT!$Y$126=1,AGREEMENT!$R$135,IF(AGREEMENT!$Y$126=2,AGREEMENT!$R$136,IF(AGREEMENT!$Y$126=3,AGREEMENT!$R$137,IF(AGREEMENT!$Y$126=4,AGREEMENT!$R$138,IF(AGREEMENT!$Y$126=5,AGREEMENT!$R$139)))))</f>
        <v>credit card</v>
      </c>
      <c r="Z124" s="218"/>
      <c r="AA124" s="218"/>
      <c r="AC124"/>
      <c r="AD124"/>
      <c r="AE124"/>
      <c r="AF124"/>
      <c r="AG124"/>
      <c r="AH124"/>
      <c r="AI124"/>
      <c r="AJ124"/>
    </row>
    <row r="125" spans="1:36" s="217" customFormat="1" ht="14" hidden="1" customHeight="1">
      <c r="B125" s="218"/>
      <c r="C125" s="218"/>
      <c r="D125" s="218"/>
      <c r="E125" s="218"/>
      <c r="F125" s="218"/>
      <c r="G125" s="218"/>
      <c r="H125" s="218"/>
      <c r="I125" s="218"/>
      <c r="J125" s="218"/>
      <c r="K125" s="218"/>
      <c r="L125" s="218"/>
      <c r="M125" s="218"/>
      <c r="N125" s="218"/>
      <c r="O125" s="218"/>
      <c r="P125" s="218"/>
      <c r="Q125" s="218"/>
      <c r="R125" s="218"/>
      <c r="S125" s="218"/>
      <c r="T125" s="218"/>
      <c r="U125" s="218"/>
      <c r="V125" s="218"/>
      <c r="W125" s="218"/>
      <c r="X125" s="218"/>
      <c r="Y125" s="218"/>
      <c r="Z125" s="218"/>
      <c r="AA125" s="218"/>
      <c r="AC125"/>
      <c r="AD125"/>
      <c r="AE125"/>
      <c r="AF125"/>
      <c r="AG125"/>
      <c r="AH125"/>
      <c r="AI125"/>
      <c r="AJ125"/>
    </row>
    <row r="126" spans="1:36" s="217" customFormat="1" ht="14" hidden="1" customHeight="1">
      <c r="B126" s="218"/>
      <c r="C126" s="218"/>
      <c r="D126" s="218"/>
      <c r="E126" s="218"/>
      <c r="F126" s="218"/>
      <c r="G126" s="218"/>
      <c r="H126" s="218"/>
      <c r="I126" s="218"/>
      <c r="J126" s="218"/>
      <c r="K126" s="218"/>
      <c r="L126" s="218"/>
      <c r="M126" s="218"/>
      <c r="N126" s="218"/>
      <c r="O126" s="218"/>
      <c r="P126" s="218"/>
      <c r="Q126" s="218"/>
      <c r="R126" s="218"/>
      <c r="S126" s="218"/>
      <c r="T126" s="218"/>
      <c r="U126" s="218"/>
      <c r="V126" s="218"/>
      <c r="W126" s="218">
        <v>168</v>
      </c>
      <c r="X126" s="218"/>
      <c r="Y126" s="219">
        <v>2</v>
      </c>
      <c r="Z126" s="220" t="str">
        <f>IF(Y126&gt;3,"AR","CC")</f>
        <v>CC</v>
      </c>
      <c r="AA126" s="220"/>
      <c r="AC126"/>
      <c r="AD126"/>
      <c r="AE126"/>
      <c r="AF126"/>
      <c r="AG126"/>
      <c r="AH126"/>
      <c r="AI126"/>
      <c r="AJ126"/>
    </row>
    <row r="127" spans="1:36" s="217" customFormat="1" ht="14" hidden="1" customHeight="1">
      <c r="B127" s="218"/>
      <c r="C127" s="218"/>
      <c r="D127" s="218"/>
      <c r="E127" s="218"/>
      <c r="F127" s="218"/>
      <c r="G127" s="218"/>
      <c r="H127" s="218"/>
      <c r="I127" s="218"/>
      <c r="J127" s="218"/>
      <c r="K127" s="218"/>
      <c r="L127" s="218"/>
      <c r="M127" s="218"/>
      <c r="N127" s="218"/>
      <c r="O127" s="218"/>
      <c r="P127" s="218"/>
      <c r="Q127" s="218"/>
      <c r="R127" s="218"/>
      <c r="S127" s="218"/>
      <c r="T127" s="218"/>
      <c r="U127" s="218"/>
      <c r="V127" s="218"/>
      <c r="W127" s="218"/>
      <c r="X127" s="218"/>
      <c r="Y127" s="218"/>
      <c r="Z127" s="218"/>
      <c r="AA127" s="218"/>
      <c r="AC127"/>
      <c r="AD127"/>
      <c r="AE127"/>
      <c r="AF127"/>
      <c r="AG127"/>
      <c r="AH127"/>
      <c r="AI127"/>
      <c r="AJ127"/>
    </row>
    <row r="128" spans="1:36" s="217" customFormat="1" ht="14" hidden="1" customHeight="1">
      <c r="B128" s="221"/>
      <c r="C128" s="221"/>
      <c r="D128" s="221"/>
      <c r="E128" s="221"/>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C128"/>
      <c r="AD128"/>
      <c r="AE128"/>
      <c r="AF128"/>
      <c r="AG128"/>
      <c r="AH128"/>
      <c r="AI128"/>
      <c r="AJ128"/>
    </row>
    <row r="129" spans="1:146" s="217" customFormat="1" ht="14" hidden="1" customHeight="1">
      <c r="A129" s="531"/>
      <c r="B129" s="531"/>
      <c r="C129" s="531"/>
      <c r="D129" s="531"/>
      <c r="E129" s="531"/>
      <c r="F129" s="531"/>
      <c r="G129" s="531"/>
      <c r="H129" s="531"/>
      <c r="I129" s="531"/>
      <c r="J129" s="531"/>
      <c r="K129" s="531"/>
      <c r="L129" s="531"/>
      <c r="M129" s="531"/>
      <c r="N129" s="531"/>
      <c r="O129" s="531"/>
      <c r="P129" s="531"/>
      <c r="Q129" s="531"/>
      <c r="R129" s="531"/>
      <c r="S129" s="531"/>
      <c r="T129" s="531"/>
      <c r="U129" s="531"/>
      <c r="V129" s="531"/>
      <c r="W129" s="531"/>
      <c r="X129" s="531"/>
      <c r="Y129" s="531"/>
      <c r="Z129" s="531"/>
      <c r="AA129" s="531"/>
      <c r="AB129" s="531"/>
      <c r="AC129"/>
      <c r="AD129"/>
      <c r="AE129"/>
      <c r="AF129"/>
      <c r="AG129"/>
      <c r="AH129"/>
      <c r="AI129"/>
      <c r="AJ129"/>
    </row>
    <row r="130" spans="1:146" s="217" customFormat="1" ht="14" hidden="1" customHeight="1" thickBot="1">
      <c r="A130" s="206"/>
      <c r="B130" s="532" t="s">
        <v>33</v>
      </c>
      <c r="C130" s="532"/>
      <c r="D130" s="532"/>
      <c r="E130" s="532"/>
      <c r="F130" s="532"/>
      <c r="G130" s="532"/>
      <c r="H130" s="532"/>
      <c r="I130" s="532"/>
      <c r="J130" s="532"/>
      <c r="K130" s="532"/>
      <c r="L130" s="532"/>
      <c r="M130" s="532"/>
      <c r="N130" s="532"/>
      <c r="O130" s="532"/>
      <c r="P130" s="532"/>
      <c r="Q130" s="532"/>
      <c r="R130" s="532"/>
      <c r="S130" s="532"/>
      <c r="T130" s="532"/>
      <c r="U130" s="532"/>
      <c r="V130" s="532"/>
      <c r="W130" s="532"/>
      <c r="X130" s="532"/>
      <c r="Y130" s="532"/>
      <c r="Z130" s="532"/>
      <c r="AA130" s="532"/>
      <c r="AB130" s="206"/>
      <c r="AC130"/>
      <c r="AD130"/>
      <c r="AE130"/>
      <c r="AF130"/>
      <c r="AG130"/>
      <c r="AH130"/>
      <c r="AI130"/>
      <c r="AJ130"/>
    </row>
    <row r="131" spans="1:146" s="217" customFormat="1" ht="14" hidden="1" customHeight="1" thickTop="1" thickBot="1">
      <c r="A131" s="206"/>
      <c r="B131" s="222"/>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06"/>
      <c r="AC131"/>
      <c r="AD131"/>
      <c r="AE131"/>
      <c r="AF131"/>
      <c r="AG131"/>
      <c r="AH131"/>
      <c r="AI131"/>
      <c r="AJ131"/>
    </row>
    <row r="132" spans="1:146" s="161" customFormat="1" ht="14" hidden="1" customHeight="1" thickBot="1">
      <c r="A132" s="162"/>
      <c r="B132" s="163"/>
      <c r="C132" s="486" t="s">
        <v>32</v>
      </c>
      <c r="D132" s="486"/>
      <c r="E132" s="487"/>
      <c r="F132" s="435" t="s">
        <v>24</v>
      </c>
      <c r="G132" s="436"/>
      <c r="H132" s="435" t="s">
        <v>25</v>
      </c>
      <c r="I132" s="436"/>
      <c r="J132" s="164"/>
      <c r="K132" s="164"/>
      <c r="L132" s="435" t="s">
        <v>26</v>
      </c>
      <c r="M132" s="436"/>
      <c r="N132" s="165"/>
      <c r="O132" s="406" t="s">
        <v>27</v>
      </c>
      <c r="P132" s="407"/>
      <c r="Q132" s="408"/>
      <c r="R132" s="165"/>
      <c r="S132" s="406" t="s">
        <v>28</v>
      </c>
      <c r="T132" s="407"/>
      <c r="U132" s="407"/>
      <c r="V132" s="408"/>
      <c r="W132" s="162"/>
      <c r="X132" s="406" t="s">
        <v>29</v>
      </c>
      <c r="Y132" s="407"/>
      <c r="Z132" s="407"/>
      <c r="AA132" s="408"/>
      <c r="AB132" s="162"/>
      <c r="AC132"/>
      <c r="AD132"/>
      <c r="AE132"/>
      <c r="AF132"/>
      <c r="AG132"/>
      <c r="AH132"/>
      <c r="AI132"/>
      <c r="AJ132"/>
    </row>
    <row r="133" spans="1:146" s="161" customFormat="1" ht="14" hidden="1" customHeight="1" thickBot="1">
      <c r="A133" s="162"/>
      <c r="B133" s="163"/>
      <c r="C133" s="486" t="s">
        <v>35</v>
      </c>
      <c r="D133" s="486"/>
      <c r="E133" s="486"/>
      <c r="F133" s="166">
        <v>1</v>
      </c>
      <c r="G133" s="167">
        <v>4</v>
      </c>
      <c r="H133" s="166">
        <v>0</v>
      </c>
      <c r="I133" s="167">
        <v>1</v>
      </c>
      <c r="J133" s="168"/>
      <c r="K133" s="168"/>
      <c r="L133" s="166">
        <v>2</v>
      </c>
      <c r="M133" s="167">
        <v>2</v>
      </c>
      <c r="N133" s="165"/>
      <c r="O133" s="506" t="s">
        <v>23</v>
      </c>
      <c r="P133" s="409"/>
      <c r="Q133" s="410"/>
      <c r="R133" s="165"/>
      <c r="S133" s="506" t="s">
        <v>120</v>
      </c>
      <c r="T133" s="409"/>
      <c r="U133" s="409" t="s">
        <v>121</v>
      </c>
      <c r="V133" s="410"/>
      <c r="W133" s="162"/>
      <c r="X133" s="506" t="s">
        <v>122</v>
      </c>
      <c r="Y133" s="409"/>
      <c r="Z133" s="409" t="s">
        <v>122</v>
      </c>
      <c r="AA133" s="410"/>
      <c r="AB133" s="162"/>
      <c r="AC133"/>
      <c r="AD133"/>
      <c r="AE133"/>
      <c r="AF133"/>
      <c r="AG133"/>
      <c r="AH133"/>
      <c r="AI133"/>
      <c r="AJ133"/>
    </row>
    <row r="134" spans="1:146" s="161" customFormat="1" ht="14" hidden="1" customHeight="1">
      <c r="A134" s="169"/>
      <c r="B134" s="170"/>
      <c r="C134" s="170"/>
      <c r="D134" s="171"/>
      <c r="E134" s="171"/>
      <c r="F134" s="165"/>
      <c r="G134" s="165"/>
      <c r="H134" s="165"/>
      <c r="I134" s="165"/>
      <c r="J134" s="165"/>
      <c r="K134" s="165"/>
      <c r="L134" s="165"/>
      <c r="M134" s="165"/>
      <c r="N134" s="165"/>
      <c r="O134" s="165"/>
      <c r="P134" s="165"/>
      <c r="Q134" s="165"/>
      <c r="R134" s="165"/>
      <c r="S134" s="162"/>
      <c r="T134" s="162"/>
      <c r="U134" s="162"/>
      <c r="V134" s="162"/>
      <c r="W134" s="162"/>
      <c r="X134" s="165"/>
      <c r="Y134" s="162"/>
      <c r="Z134" s="165"/>
      <c r="AA134" s="162"/>
      <c r="AB134" s="162"/>
      <c r="AC134"/>
      <c r="AD134"/>
      <c r="AE134"/>
      <c r="AF134"/>
      <c r="AG134"/>
      <c r="AH134"/>
      <c r="AI134"/>
      <c r="AJ134"/>
    </row>
    <row r="135" spans="1:146" s="162" customFormat="1" ht="14" hidden="1" customHeight="1" thickBot="1">
      <c r="A135" s="169"/>
      <c r="B135" s="170" t="s">
        <v>66</v>
      </c>
      <c r="C135" s="172" t="s">
        <v>67</v>
      </c>
      <c r="D135" s="172" t="s">
        <v>68</v>
      </c>
      <c r="E135" s="172"/>
      <c r="F135" s="535" t="s">
        <v>30</v>
      </c>
      <c r="G135" s="536"/>
      <c r="H135" s="536"/>
      <c r="I135" s="536"/>
      <c r="J135" s="536"/>
      <c r="K135" s="536"/>
      <c r="L135" s="536"/>
      <c r="M135" s="537"/>
      <c r="N135" s="173" t="s">
        <v>131</v>
      </c>
      <c r="O135" s="411" t="s">
        <v>123</v>
      </c>
      <c r="P135" s="412"/>
      <c r="Q135" s="413"/>
      <c r="R135" s="174" t="s">
        <v>202</v>
      </c>
      <c r="S135" s="411" t="s">
        <v>48</v>
      </c>
      <c r="T135" s="412"/>
      <c r="U135" s="175" t="s">
        <v>38</v>
      </c>
      <c r="V135" s="176" t="s">
        <v>39</v>
      </c>
      <c r="W135" s="177"/>
      <c r="X135" s="411" t="s">
        <v>124</v>
      </c>
      <c r="Y135" s="412"/>
      <c r="Z135" s="412"/>
      <c r="AA135" s="413"/>
      <c r="AC135"/>
      <c r="AD135"/>
      <c r="AE135"/>
      <c r="AF135"/>
      <c r="AG135"/>
      <c r="AH135"/>
      <c r="AI135"/>
      <c r="AJ135"/>
      <c r="AK135" s="161"/>
      <c r="AL135" s="161"/>
      <c r="AM135" s="161"/>
      <c r="AN135" s="161"/>
      <c r="AO135" s="161"/>
      <c r="AP135" s="161"/>
      <c r="AQ135" s="161"/>
      <c r="AR135" s="161"/>
      <c r="AS135" s="161"/>
      <c r="AT135" s="161"/>
      <c r="AU135" s="161"/>
      <c r="AV135" s="161"/>
      <c r="AW135" s="161"/>
      <c r="AX135" s="161"/>
      <c r="AY135" s="161"/>
      <c r="AZ135" s="161"/>
      <c r="BA135" s="161"/>
      <c r="BB135" s="161"/>
      <c r="BC135" s="161"/>
      <c r="BD135" s="161"/>
      <c r="BE135" s="161"/>
      <c r="BF135" s="161"/>
      <c r="BG135" s="161"/>
      <c r="BH135" s="161"/>
      <c r="BI135" s="161"/>
      <c r="BJ135" s="161"/>
      <c r="BK135" s="161"/>
      <c r="BL135" s="161"/>
      <c r="BM135" s="161"/>
      <c r="BN135" s="161"/>
      <c r="BO135" s="161"/>
      <c r="BP135" s="161"/>
      <c r="BQ135" s="161"/>
      <c r="BR135" s="161"/>
      <c r="BS135" s="161"/>
      <c r="BT135" s="161"/>
      <c r="BU135" s="161"/>
      <c r="BV135" s="161"/>
      <c r="BW135" s="161"/>
      <c r="BX135" s="161"/>
      <c r="BY135" s="161"/>
      <c r="BZ135" s="161"/>
      <c r="CA135" s="161"/>
      <c r="CB135" s="161"/>
      <c r="CC135" s="161"/>
      <c r="CD135" s="161"/>
      <c r="CE135" s="161"/>
      <c r="CF135" s="161"/>
      <c r="CG135" s="161"/>
      <c r="CH135" s="161"/>
      <c r="CI135" s="161"/>
      <c r="CJ135" s="161"/>
      <c r="CK135" s="161"/>
      <c r="CL135" s="161"/>
      <c r="CM135" s="161"/>
      <c r="CN135" s="161"/>
      <c r="CO135" s="161"/>
      <c r="CP135" s="161"/>
      <c r="CQ135" s="161"/>
      <c r="CR135" s="161"/>
      <c r="CS135" s="161"/>
      <c r="CT135" s="161"/>
      <c r="CU135" s="161"/>
      <c r="CV135" s="161"/>
      <c r="CW135" s="161"/>
      <c r="CX135" s="161"/>
      <c r="CY135" s="161"/>
      <c r="CZ135" s="161"/>
      <c r="DA135" s="161"/>
      <c r="DB135" s="161"/>
      <c r="DC135" s="161"/>
      <c r="DD135" s="161"/>
      <c r="DE135" s="161"/>
      <c r="DF135" s="161"/>
      <c r="DG135" s="161"/>
      <c r="DH135" s="161"/>
      <c r="DI135" s="161"/>
      <c r="DJ135" s="161"/>
      <c r="DK135" s="161"/>
      <c r="DL135" s="161"/>
      <c r="DM135" s="161"/>
      <c r="DN135" s="161"/>
      <c r="DO135" s="161"/>
      <c r="DP135" s="161"/>
      <c r="DQ135" s="161"/>
      <c r="DR135" s="161"/>
      <c r="DS135" s="161"/>
      <c r="DT135" s="161"/>
      <c r="DU135" s="161"/>
      <c r="DV135" s="161"/>
      <c r="DW135" s="161"/>
      <c r="DX135" s="161"/>
      <c r="DY135" s="161"/>
      <c r="DZ135" s="161"/>
      <c r="EA135" s="161"/>
      <c r="EB135" s="161"/>
      <c r="EC135" s="161"/>
      <c r="ED135" s="161"/>
      <c r="EE135" s="161"/>
      <c r="EF135" s="161"/>
      <c r="EG135" s="161"/>
      <c r="EH135" s="161"/>
      <c r="EI135" s="161"/>
      <c r="EJ135" s="161"/>
      <c r="EK135" s="161"/>
      <c r="EL135" s="161"/>
      <c r="EM135" s="161"/>
      <c r="EN135" s="161"/>
      <c r="EO135" s="161"/>
      <c r="EP135" s="161"/>
    </row>
    <row r="136" spans="1:146" s="162" customFormat="1" ht="14" hidden="1" customHeight="1" thickTop="1">
      <c r="A136" s="169"/>
      <c r="B136" s="178" t="s">
        <v>58</v>
      </c>
      <c r="C136" s="172" t="s">
        <v>72</v>
      </c>
      <c r="D136" s="179" t="s">
        <v>125</v>
      </c>
      <c r="E136" s="179" t="s">
        <v>197</v>
      </c>
      <c r="F136" s="438" t="s">
        <v>245</v>
      </c>
      <c r="G136" s="439"/>
      <c r="H136" s="439"/>
      <c r="I136" s="439"/>
      <c r="J136" s="439"/>
      <c r="K136" s="439"/>
      <c r="L136" s="439"/>
      <c r="M136" s="440"/>
      <c r="N136" s="173" t="s">
        <v>132</v>
      </c>
      <c r="O136" s="402" t="s">
        <v>126</v>
      </c>
      <c r="P136" s="403"/>
      <c r="Q136" s="404"/>
      <c r="R136" s="180" t="s">
        <v>134</v>
      </c>
      <c r="S136" s="402" t="s">
        <v>49</v>
      </c>
      <c r="T136" s="403"/>
      <c r="U136" s="181" t="s">
        <v>38</v>
      </c>
      <c r="V136" s="182" t="s">
        <v>40</v>
      </c>
      <c r="W136" s="177"/>
      <c r="X136" s="402" t="s">
        <v>127</v>
      </c>
      <c r="Y136" s="403"/>
      <c r="Z136" s="403"/>
      <c r="AA136" s="404"/>
      <c r="AC136"/>
      <c r="AD136"/>
      <c r="AE136"/>
      <c r="AF136"/>
      <c r="AG136"/>
      <c r="AH136"/>
      <c r="AI136"/>
      <c r="AJ136"/>
      <c r="AK136" s="161"/>
      <c r="AL136" s="161"/>
      <c r="AM136" s="161"/>
      <c r="AN136" s="161"/>
      <c r="AO136" s="161"/>
      <c r="AP136" s="161"/>
      <c r="AQ136" s="161"/>
      <c r="AR136" s="161"/>
      <c r="AS136" s="161"/>
      <c r="AT136" s="161"/>
      <c r="AU136" s="161"/>
      <c r="AV136" s="161"/>
      <c r="AW136" s="161"/>
      <c r="AX136" s="161"/>
      <c r="AY136" s="161"/>
      <c r="AZ136" s="161"/>
      <c r="BA136" s="161"/>
      <c r="BB136" s="161"/>
      <c r="BC136" s="161"/>
      <c r="BD136" s="161"/>
      <c r="BE136" s="161"/>
      <c r="BF136" s="161"/>
      <c r="BG136" s="161"/>
      <c r="BH136" s="161"/>
      <c r="BI136" s="161"/>
      <c r="BJ136" s="161"/>
      <c r="BK136" s="161"/>
      <c r="BL136" s="161"/>
      <c r="BM136" s="161"/>
      <c r="BN136" s="161"/>
      <c r="BO136" s="161"/>
      <c r="BP136" s="161"/>
      <c r="BQ136" s="161"/>
      <c r="BR136" s="161"/>
      <c r="BS136" s="161"/>
      <c r="BT136" s="161"/>
      <c r="BU136" s="161"/>
      <c r="BV136" s="161"/>
      <c r="BW136" s="161"/>
      <c r="BX136" s="161"/>
      <c r="BY136" s="161"/>
      <c r="BZ136" s="161"/>
      <c r="CA136" s="161"/>
      <c r="CB136" s="161"/>
      <c r="CC136" s="161"/>
      <c r="CD136" s="161"/>
      <c r="CE136" s="161"/>
      <c r="CF136" s="161"/>
      <c r="CG136" s="161"/>
      <c r="CH136" s="161"/>
      <c r="CI136" s="161"/>
      <c r="CJ136" s="161"/>
      <c r="CK136" s="161"/>
      <c r="CL136" s="161"/>
      <c r="CM136" s="161"/>
      <c r="CN136" s="161"/>
      <c r="CO136" s="161"/>
      <c r="CP136" s="161"/>
      <c r="CQ136" s="161"/>
      <c r="CR136" s="161"/>
      <c r="CS136" s="161"/>
      <c r="CT136" s="161"/>
      <c r="CU136" s="161"/>
      <c r="CV136" s="161"/>
      <c r="CW136" s="161"/>
      <c r="CX136" s="161"/>
      <c r="CY136" s="161"/>
      <c r="CZ136" s="161"/>
      <c r="DA136" s="161"/>
      <c r="DB136" s="161"/>
      <c r="DC136" s="161"/>
      <c r="DD136" s="161"/>
      <c r="DE136" s="161"/>
      <c r="DF136" s="161"/>
      <c r="DG136" s="161"/>
      <c r="DH136" s="161"/>
      <c r="DI136" s="161"/>
      <c r="DJ136" s="161"/>
      <c r="DK136" s="161"/>
      <c r="DL136" s="161"/>
      <c r="DM136" s="161"/>
      <c r="DN136" s="161"/>
      <c r="DO136" s="161"/>
      <c r="DP136" s="161"/>
      <c r="DQ136" s="161"/>
      <c r="DR136" s="161"/>
      <c r="DS136" s="161"/>
      <c r="DT136" s="161"/>
      <c r="DU136" s="161"/>
      <c r="DV136" s="161"/>
      <c r="DW136" s="161"/>
      <c r="DX136" s="161"/>
      <c r="DY136" s="161"/>
      <c r="DZ136" s="161"/>
      <c r="EA136" s="161"/>
      <c r="EB136" s="161"/>
      <c r="EC136" s="161"/>
      <c r="ED136" s="161"/>
      <c r="EE136" s="161"/>
      <c r="EF136" s="161"/>
      <c r="EG136" s="161"/>
      <c r="EH136" s="161"/>
      <c r="EI136" s="161"/>
      <c r="EJ136" s="161"/>
      <c r="EK136" s="161"/>
      <c r="EL136" s="161"/>
      <c r="EM136" s="161"/>
      <c r="EN136" s="161"/>
      <c r="EO136" s="161"/>
      <c r="EP136" s="161"/>
    </row>
    <row r="137" spans="1:146" s="162" customFormat="1" ht="14" hidden="1" customHeight="1">
      <c r="A137" s="169"/>
      <c r="B137" s="178" t="s">
        <v>34</v>
      </c>
      <c r="C137" s="172" t="s">
        <v>73</v>
      </c>
      <c r="D137" s="179" t="s">
        <v>128</v>
      </c>
      <c r="E137" s="179" t="s">
        <v>204</v>
      </c>
      <c r="F137" s="441"/>
      <c r="G137" s="442"/>
      <c r="H137" s="442"/>
      <c r="I137" s="442"/>
      <c r="J137" s="442"/>
      <c r="K137" s="442"/>
      <c r="L137" s="442"/>
      <c r="M137" s="443"/>
      <c r="N137" s="173" t="s">
        <v>133</v>
      </c>
      <c r="O137" s="180"/>
      <c r="P137" s="183"/>
      <c r="Q137" s="177"/>
      <c r="R137" s="180" t="s">
        <v>356</v>
      </c>
      <c r="S137" s="402" t="s">
        <v>50</v>
      </c>
      <c r="T137" s="403"/>
      <c r="U137" s="181" t="s">
        <v>38</v>
      </c>
      <c r="V137" s="182" t="s">
        <v>43</v>
      </c>
      <c r="W137" s="177"/>
      <c r="X137" s="180"/>
      <c r="Y137" s="183"/>
      <c r="Z137" s="183"/>
      <c r="AA137" s="177"/>
      <c r="AC137"/>
      <c r="AD137"/>
      <c r="AE137"/>
      <c r="AF137"/>
      <c r="AG137"/>
      <c r="AH137"/>
      <c r="AI137"/>
      <c r="AJ137"/>
      <c r="AK137" s="161"/>
      <c r="AL137" s="161"/>
      <c r="AM137" s="161"/>
      <c r="AN137" s="161"/>
      <c r="AO137" s="161"/>
      <c r="AP137" s="161"/>
      <c r="AQ137" s="161"/>
      <c r="AR137" s="161"/>
      <c r="AS137" s="161"/>
      <c r="AT137" s="161"/>
      <c r="AU137" s="161"/>
      <c r="AV137" s="161"/>
      <c r="AW137" s="161"/>
      <c r="AX137" s="161"/>
      <c r="AY137" s="161"/>
      <c r="AZ137" s="161"/>
      <c r="BA137" s="161"/>
      <c r="BB137" s="161"/>
      <c r="BC137" s="161"/>
      <c r="BD137" s="161"/>
      <c r="BE137" s="161"/>
      <c r="BF137" s="161"/>
      <c r="BG137" s="161"/>
      <c r="BH137" s="161"/>
      <c r="BI137" s="161"/>
      <c r="BJ137" s="161"/>
      <c r="BK137" s="161"/>
      <c r="BL137" s="161"/>
      <c r="BM137" s="161"/>
      <c r="BN137" s="161"/>
      <c r="BO137" s="161"/>
      <c r="BP137" s="161"/>
      <c r="BQ137" s="161"/>
      <c r="BR137" s="161"/>
      <c r="BS137" s="161"/>
      <c r="BT137" s="161"/>
      <c r="BU137" s="161"/>
      <c r="BV137" s="161"/>
      <c r="BW137" s="161"/>
      <c r="BX137" s="161"/>
      <c r="BY137" s="161"/>
      <c r="BZ137" s="161"/>
      <c r="CA137" s="161"/>
      <c r="CB137" s="161"/>
      <c r="CC137" s="161"/>
      <c r="CD137" s="161"/>
      <c r="CE137" s="161"/>
      <c r="CF137" s="161"/>
      <c r="CG137" s="161"/>
      <c r="CH137" s="161"/>
      <c r="CI137" s="161"/>
      <c r="CJ137" s="161"/>
      <c r="CK137" s="161"/>
      <c r="CL137" s="161"/>
      <c r="CM137" s="161"/>
      <c r="CN137" s="161"/>
      <c r="CO137" s="161"/>
      <c r="CP137" s="161"/>
      <c r="CQ137" s="161"/>
      <c r="CR137" s="161"/>
      <c r="CS137" s="161"/>
      <c r="CT137" s="161"/>
      <c r="CU137" s="161"/>
      <c r="CV137" s="161"/>
      <c r="CW137" s="161"/>
      <c r="CX137" s="161"/>
      <c r="CY137" s="161"/>
      <c r="CZ137" s="161"/>
      <c r="DA137" s="161"/>
      <c r="DB137" s="161"/>
      <c r="DC137" s="161"/>
      <c r="DD137" s="161"/>
      <c r="DE137" s="161"/>
      <c r="DF137" s="161"/>
      <c r="DG137" s="161"/>
      <c r="DH137" s="161"/>
      <c r="DI137" s="161"/>
      <c r="DJ137" s="161"/>
      <c r="DK137" s="161"/>
      <c r="DL137" s="161"/>
      <c r="DM137" s="161"/>
      <c r="DN137" s="161"/>
      <c r="DO137" s="161"/>
      <c r="DP137" s="161"/>
      <c r="DQ137" s="161"/>
      <c r="DR137" s="161"/>
      <c r="DS137" s="161"/>
      <c r="DT137" s="161"/>
      <c r="DU137" s="161"/>
      <c r="DV137" s="161"/>
      <c r="DW137" s="161"/>
      <c r="DX137" s="161"/>
      <c r="DY137" s="161"/>
      <c r="DZ137" s="161"/>
      <c r="EA137" s="161"/>
      <c r="EB137" s="161"/>
      <c r="EC137" s="161"/>
      <c r="ED137" s="161"/>
      <c r="EE137" s="161"/>
      <c r="EF137" s="161"/>
      <c r="EG137" s="161"/>
      <c r="EH137" s="161"/>
      <c r="EI137" s="161"/>
      <c r="EJ137" s="161"/>
      <c r="EK137" s="161"/>
      <c r="EL137" s="161"/>
      <c r="EM137" s="161"/>
      <c r="EN137" s="161"/>
      <c r="EO137" s="161"/>
      <c r="EP137" s="161"/>
    </row>
    <row r="138" spans="1:146" s="162" customFormat="1" ht="14" hidden="1" customHeight="1">
      <c r="A138" s="169"/>
      <c r="B138" s="178" t="s">
        <v>57</v>
      </c>
      <c r="C138" s="172" t="s">
        <v>302</v>
      </c>
      <c r="D138" s="179"/>
      <c r="E138" s="179" t="s">
        <v>199</v>
      </c>
      <c r="F138" s="441"/>
      <c r="G138" s="442"/>
      <c r="H138" s="442"/>
      <c r="I138" s="442"/>
      <c r="J138" s="442"/>
      <c r="K138" s="442"/>
      <c r="L138" s="442"/>
      <c r="M138" s="443"/>
      <c r="N138" s="173" t="s">
        <v>134</v>
      </c>
      <c r="O138" s="174"/>
      <c r="P138" s="183"/>
      <c r="Q138" s="177">
        <v>4</v>
      </c>
      <c r="R138" s="180" t="s">
        <v>203</v>
      </c>
      <c r="S138" s="402" t="s">
        <v>51</v>
      </c>
      <c r="T138" s="403"/>
      <c r="U138" s="181" t="s">
        <v>38</v>
      </c>
      <c r="V138" s="182" t="s">
        <v>41</v>
      </c>
      <c r="W138" s="177"/>
      <c r="X138" s="180"/>
      <c r="Y138" s="183"/>
      <c r="Z138" s="183"/>
      <c r="AA138" s="177"/>
      <c r="AC138"/>
      <c r="AD138"/>
      <c r="AE138"/>
      <c r="AF138"/>
      <c r="AG138"/>
      <c r="AH138"/>
      <c r="AI138"/>
      <c r="AJ138"/>
      <c r="AK138" s="161"/>
      <c r="AL138" s="161"/>
      <c r="AM138" s="161"/>
      <c r="AN138" s="161"/>
      <c r="AO138" s="161"/>
      <c r="AP138" s="161"/>
      <c r="AQ138" s="161"/>
      <c r="AR138" s="161"/>
      <c r="AS138" s="161"/>
      <c r="AT138" s="161"/>
      <c r="AU138" s="161"/>
      <c r="AV138" s="161"/>
      <c r="AW138" s="161"/>
      <c r="AX138" s="161"/>
      <c r="AY138" s="161"/>
      <c r="AZ138" s="161"/>
      <c r="BA138" s="161"/>
      <c r="BB138" s="161"/>
      <c r="BC138" s="161"/>
      <c r="BD138" s="161"/>
      <c r="BE138" s="161"/>
      <c r="BF138" s="161"/>
      <c r="BG138" s="161"/>
      <c r="BH138" s="161"/>
      <c r="BI138" s="161"/>
      <c r="BJ138" s="161"/>
      <c r="BK138" s="161"/>
      <c r="BL138" s="161"/>
      <c r="BM138" s="161"/>
      <c r="BN138" s="161"/>
      <c r="BO138" s="161"/>
      <c r="BP138" s="161"/>
      <c r="BQ138" s="161"/>
      <c r="BR138" s="161"/>
      <c r="BS138" s="161"/>
      <c r="BT138" s="161"/>
      <c r="BU138" s="161"/>
      <c r="BV138" s="161"/>
      <c r="BW138" s="161"/>
      <c r="BX138" s="161"/>
      <c r="BY138" s="161"/>
      <c r="BZ138" s="161"/>
      <c r="CA138" s="161"/>
      <c r="CB138" s="161"/>
      <c r="CC138" s="161"/>
      <c r="CD138" s="161"/>
      <c r="CE138" s="161"/>
      <c r="CF138" s="161"/>
      <c r="CG138" s="161"/>
      <c r="CH138" s="161"/>
      <c r="CI138" s="161"/>
      <c r="CJ138" s="161"/>
      <c r="CK138" s="161"/>
      <c r="CL138" s="161"/>
      <c r="CM138" s="161"/>
      <c r="CN138" s="161"/>
      <c r="CO138" s="161"/>
      <c r="CP138" s="161"/>
      <c r="CQ138" s="161"/>
      <c r="CR138" s="161"/>
      <c r="CS138" s="161"/>
      <c r="CT138" s="161"/>
      <c r="CU138" s="161"/>
      <c r="CV138" s="161"/>
      <c r="CW138" s="161"/>
      <c r="CX138" s="161"/>
      <c r="CY138" s="161"/>
      <c r="CZ138" s="161"/>
      <c r="DA138" s="161"/>
      <c r="DB138" s="161"/>
      <c r="DC138" s="161"/>
      <c r="DD138" s="161"/>
      <c r="DE138" s="161"/>
      <c r="DF138" s="161"/>
      <c r="DG138" s="161"/>
      <c r="DH138" s="161"/>
      <c r="DI138" s="161"/>
      <c r="DJ138" s="161"/>
      <c r="DK138" s="161"/>
      <c r="DL138" s="161"/>
      <c r="DM138" s="161"/>
      <c r="DN138" s="161"/>
      <c r="DO138" s="161"/>
      <c r="DP138" s="161"/>
      <c r="DQ138" s="161"/>
      <c r="DR138" s="161"/>
      <c r="DS138" s="161"/>
      <c r="DT138" s="161"/>
      <c r="DU138" s="161"/>
      <c r="DV138" s="161"/>
      <c r="DW138" s="161"/>
      <c r="DX138" s="161"/>
      <c r="DY138" s="161"/>
      <c r="DZ138" s="161"/>
      <c r="EA138" s="161"/>
      <c r="EB138" s="161"/>
      <c r="EC138" s="161"/>
      <c r="ED138" s="161"/>
      <c r="EE138" s="161"/>
      <c r="EF138" s="161"/>
      <c r="EG138" s="161"/>
      <c r="EH138" s="161"/>
      <c r="EI138" s="161"/>
      <c r="EJ138" s="161"/>
      <c r="EK138" s="161"/>
      <c r="EL138" s="161"/>
      <c r="EM138" s="161"/>
      <c r="EN138" s="161"/>
      <c r="EO138" s="161"/>
      <c r="EP138" s="161"/>
    </row>
    <row r="139" spans="1:146" s="162" customFormat="1" ht="14" hidden="1" customHeight="1">
      <c r="A139" s="169"/>
      <c r="B139" s="178" t="s">
        <v>64</v>
      </c>
      <c r="C139" s="172" t="s">
        <v>301</v>
      </c>
      <c r="D139" s="179"/>
      <c r="E139" s="179" t="s">
        <v>98</v>
      </c>
      <c r="F139" s="441"/>
      <c r="G139" s="442"/>
      <c r="H139" s="442"/>
      <c r="I139" s="442"/>
      <c r="J139" s="442"/>
      <c r="K139" s="442"/>
      <c r="L139" s="442"/>
      <c r="M139" s="443"/>
      <c r="N139" s="173" t="s">
        <v>135</v>
      </c>
      <c r="O139" s="174"/>
      <c r="P139" s="183"/>
      <c r="Q139" s="177"/>
      <c r="R139" s="180" t="s">
        <v>135</v>
      </c>
      <c r="S139" s="402" t="s">
        <v>52</v>
      </c>
      <c r="T139" s="403"/>
      <c r="U139" s="181" t="s">
        <v>38</v>
      </c>
      <c r="V139" s="182" t="s">
        <v>42</v>
      </c>
      <c r="W139" s="177"/>
      <c r="X139" s="184"/>
      <c r="Y139" s="185"/>
      <c r="Z139" s="185"/>
      <c r="AA139" s="186"/>
      <c r="AC139"/>
      <c r="AD139"/>
      <c r="AE139"/>
      <c r="AF139"/>
      <c r="AG139"/>
      <c r="AH139"/>
      <c r="AI139"/>
      <c r="AJ139"/>
      <c r="AK139" s="161"/>
      <c r="AL139" s="161"/>
      <c r="AM139" s="161"/>
      <c r="AN139" s="161"/>
      <c r="AO139" s="161"/>
      <c r="AP139" s="161"/>
      <c r="AQ139" s="161"/>
      <c r="AR139" s="161"/>
      <c r="AS139" s="161"/>
      <c r="AT139" s="161"/>
      <c r="AU139" s="161"/>
      <c r="AV139" s="161"/>
      <c r="AW139" s="161"/>
      <c r="AX139" s="161"/>
      <c r="AY139" s="161"/>
      <c r="AZ139" s="161"/>
      <c r="BA139" s="161"/>
      <c r="BB139" s="161"/>
      <c r="BC139" s="161"/>
      <c r="BD139" s="161"/>
      <c r="BE139" s="161"/>
      <c r="BF139" s="161"/>
      <c r="BG139" s="161"/>
      <c r="BH139" s="161"/>
      <c r="BI139" s="161"/>
      <c r="BJ139" s="161"/>
      <c r="BK139" s="161"/>
      <c r="BL139" s="161"/>
      <c r="BM139" s="161"/>
      <c r="BN139" s="161"/>
      <c r="BO139" s="161"/>
      <c r="BP139" s="161"/>
      <c r="BQ139" s="161"/>
      <c r="BR139" s="161"/>
      <c r="BS139" s="161"/>
      <c r="BT139" s="161"/>
      <c r="BU139" s="161"/>
      <c r="BV139" s="161"/>
      <c r="BW139" s="161"/>
      <c r="BX139" s="161"/>
      <c r="BY139" s="161"/>
      <c r="BZ139" s="161"/>
      <c r="CA139" s="161"/>
      <c r="CB139" s="161"/>
      <c r="CC139" s="161"/>
      <c r="CD139" s="161"/>
      <c r="CE139" s="161"/>
      <c r="CF139" s="161"/>
      <c r="CG139" s="161"/>
      <c r="CH139" s="161"/>
      <c r="CI139" s="161"/>
      <c r="CJ139" s="161"/>
      <c r="CK139" s="161"/>
      <c r="CL139" s="161"/>
      <c r="CM139" s="161"/>
      <c r="CN139" s="161"/>
      <c r="CO139" s="161"/>
      <c r="CP139" s="161"/>
      <c r="CQ139" s="161"/>
      <c r="CR139" s="161"/>
      <c r="CS139" s="161"/>
      <c r="CT139" s="161"/>
      <c r="CU139" s="161"/>
      <c r="CV139" s="161"/>
      <c r="CW139" s="161"/>
      <c r="CX139" s="161"/>
      <c r="CY139" s="161"/>
      <c r="CZ139" s="161"/>
      <c r="DA139" s="161"/>
      <c r="DB139" s="161"/>
      <c r="DC139" s="161"/>
      <c r="DD139" s="161"/>
      <c r="DE139" s="161"/>
      <c r="DF139" s="161"/>
      <c r="DG139" s="161"/>
      <c r="DH139" s="161"/>
      <c r="DI139" s="161"/>
      <c r="DJ139" s="161"/>
      <c r="DK139" s="161"/>
      <c r="DL139" s="161"/>
      <c r="DM139" s="161"/>
      <c r="DN139" s="161"/>
      <c r="DO139" s="161"/>
      <c r="DP139" s="161"/>
      <c r="DQ139" s="161"/>
      <c r="DR139" s="161"/>
      <c r="DS139" s="161"/>
      <c r="DT139" s="161"/>
      <c r="DU139" s="161"/>
      <c r="DV139" s="161"/>
      <c r="DW139" s="161"/>
      <c r="DX139" s="161"/>
      <c r="DY139" s="161"/>
      <c r="DZ139" s="161"/>
      <c r="EA139" s="161"/>
      <c r="EB139" s="161"/>
      <c r="EC139" s="161"/>
      <c r="ED139" s="161"/>
      <c r="EE139" s="161"/>
      <c r="EF139" s="161"/>
      <c r="EG139" s="161"/>
      <c r="EH139" s="161"/>
      <c r="EI139" s="161"/>
      <c r="EJ139" s="161"/>
      <c r="EK139" s="161"/>
      <c r="EL139" s="161"/>
      <c r="EM139" s="161"/>
      <c r="EN139" s="161"/>
      <c r="EO139" s="161"/>
      <c r="EP139" s="161"/>
    </row>
    <row r="140" spans="1:146" s="162" customFormat="1" ht="14" hidden="1" customHeight="1">
      <c r="A140" s="169"/>
      <c r="B140" s="178" t="s">
        <v>65</v>
      </c>
      <c r="C140" s="172" t="s">
        <v>300</v>
      </c>
      <c r="D140" s="179"/>
      <c r="E140" s="179"/>
      <c r="F140" s="424" t="s">
        <v>267</v>
      </c>
      <c r="G140" s="425"/>
      <c r="H140" s="425"/>
      <c r="I140" s="425"/>
      <c r="J140" s="425"/>
      <c r="K140" s="425"/>
      <c r="L140" s="425"/>
      <c r="M140" s="426"/>
      <c r="N140" s="177" t="s">
        <v>136</v>
      </c>
      <c r="O140" s="180"/>
      <c r="P140" s="183"/>
      <c r="Q140" s="177"/>
      <c r="R140" s="180"/>
      <c r="S140" s="402" t="s">
        <v>53</v>
      </c>
      <c r="T140" s="403"/>
      <c r="U140" s="181" t="s">
        <v>38</v>
      </c>
      <c r="V140" s="182" t="s">
        <v>44</v>
      </c>
      <c r="W140" s="177"/>
      <c r="X140" s="184"/>
      <c r="Y140" s="185">
        <v>2</v>
      </c>
      <c r="Z140" s="430" t="str">
        <f>IF(Y140=2,"CC","AR")</f>
        <v>CC</v>
      </c>
      <c r="AA140" s="431"/>
      <c r="AC140"/>
      <c r="AD140"/>
      <c r="AE140"/>
      <c r="AF140"/>
      <c r="AG140"/>
      <c r="AH140"/>
      <c r="AI140"/>
      <c r="AJ140"/>
      <c r="AK140" s="161"/>
      <c r="AL140" s="161"/>
      <c r="AM140" s="161"/>
      <c r="AN140" s="161"/>
      <c r="AO140" s="161"/>
      <c r="AP140" s="161"/>
      <c r="AQ140" s="161"/>
      <c r="AR140" s="161"/>
      <c r="AS140" s="161"/>
      <c r="AT140" s="161"/>
      <c r="AU140" s="161"/>
      <c r="AV140" s="161"/>
      <c r="AW140" s="161"/>
      <c r="AX140" s="161"/>
      <c r="AY140" s="161"/>
      <c r="AZ140" s="161"/>
      <c r="BA140" s="161"/>
      <c r="BB140" s="161"/>
      <c r="BC140" s="161"/>
      <c r="BD140" s="161"/>
      <c r="BE140" s="161"/>
      <c r="BF140" s="161"/>
      <c r="BG140" s="161"/>
      <c r="BH140" s="161"/>
      <c r="BI140" s="161"/>
      <c r="BJ140" s="161"/>
      <c r="BK140" s="161"/>
      <c r="BL140" s="161"/>
      <c r="BM140" s="161"/>
      <c r="BN140" s="161"/>
      <c r="BO140" s="161"/>
      <c r="BP140" s="161"/>
      <c r="BQ140" s="161"/>
      <c r="BR140" s="161"/>
      <c r="BS140" s="161"/>
      <c r="BT140" s="161"/>
      <c r="BU140" s="161"/>
      <c r="BV140" s="161"/>
      <c r="BW140" s="161"/>
      <c r="BX140" s="161"/>
      <c r="BY140" s="161"/>
      <c r="BZ140" s="161"/>
      <c r="CA140" s="161"/>
      <c r="CB140" s="161"/>
      <c r="CC140" s="161"/>
      <c r="CD140" s="161"/>
      <c r="CE140" s="161"/>
      <c r="CF140" s="161"/>
      <c r="CG140" s="161"/>
      <c r="CH140" s="161"/>
      <c r="CI140" s="161"/>
      <c r="CJ140" s="161"/>
      <c r="CK140" s="161"/>
      <c r="CL140" s="161"/>
      <c r="CM140" s="161"/>
      <c r="CN140" s="161"/>
      <c r="CO140" s="161"/>
      <c r="CP140" s="161"/>
      <c r="CQ140" s="161"/>
      <c r="CR140" s="161"/>
      <c r="CS140" s="161"/>
      <c r="CT140" s="161"/>
      <c r="CU140" s="161"/>
      <c r="CV140" s="161"/>
      <c r="CW140" s="161"/>
      <c r="CX140" s="161"/>
      <c r="CY140" s="161"/>
      <c r="CZ140" s="161"/>
      <c r="DA140" s="161"/>
      <c r="DB140" s="161"/>
      <c r="DC140" s="161"/>
      <c r="DD140" s="161"/>
      <c r="DE140" s="161"/>
      <c r="DF140" s="161"/>
      <c r="DG140" s="161"/>
      <c r="DH140" s="161"/>
      <c r="DI140" s="161"/>
      <c r="DJ140" s="161"/>
      <c r="DK140" s="161"/>
      <c r="DL140" s="161"/>
      <c r="DM140" s="161"/>
      <c r="DN140" s="161"/>
      <c r="DO140" s="161"/>
      <c r="DP140" s="161"/>
      <c r="DQ140" s="161"/>
      <c r="DR140" s="161"/>
      <c r="DS140" s="161"/>
      <c r="DT140" s="161"/>
      <c r="DU140" s="161"/>
      <c r="DV140" s="161"/>
      <c r="DW140" s="161"/>
      <c r="DX140" s="161"/>
      <c r="DY140" s="161"/>
      <c r="DZ140" s="161"/>
      <c r="EA140" s="161"/>
      <c r="EB140" s="161"/>
      <c r="EC140" s="161"/>
      <c r="ED140" s="161"/>
      <c r="EE140" s="161"/>
      <c r="EF140" s="161"/>
      <c r="EG140" s="161"/>
      <c r="EH140" s="161"/>
      <c r="EI140" s="161"/>
      <c r="EJ140" s="161"/>
      <c r="EK140" s="161"/>
      <c r="EL140" s="161"/>
      <c r="EM140" s="161"/>
      <c r="EN140" s="161"/>
      <c r="EO140" s="161"/>
      <c r="EP140" s="161"/>
    </row>
    <row r="141" spans="1:146" s="162" customFormat="1" ht="14" hidden="1" customHeight="1">
      <c r="A141" s="169"/>
      <c r="B141" s="178" t="s">
        <v>98</v>
      </c>
      <c r="C141" s="172" t="s">
        <v>71</v>
      </c>
      <c r="D141" s="179"/>
      <c r="E141" s="179"/>
      <c r="F141" s="424"/>
      <c r="G141" s="425"/>
      <c r="H141" s="425"/>
      <c r="I141" s="425"/>
      <c r="J141" s="425"/>
      <c r="K141" s="425"/>
      <c r="L141" s="425"/>
      <c r="M141" s="426"/>
      <c r="N141" s="177"/>
      <c r="O141" s="180"/>
      <c r="P141" s="183"/>
      <c r="Q141" s="177"/>
      <c r="R141" s="180"/>
      <c r="S141" s="402" t="s">
        <v>54</v>
      </c>
      <c r="T141" s="403"/>
      <c r="U141" s="181" t="s">
        <v>38</v>
      </c>
      <c r="V141" s="182" t="s">
        <v>45</v>
      </c>
      <c r="W141" s="177"/>
      <c r="X141" s="184"/>
      <c r="Y141" s="185"/>
      <c r="Z141" s="185"/>
      <c r="AA141" s="186"/>
      <c r="AC141"/>
      <c r="AD141"/>
      <c r="AE141"/>
      <c r="AF141"/>
      <c r="AG141"/>
      <c r="AH141"/>
      <c r="AI141"/>
      <c r="AJ141"/>
      <c r="AK141" s="161"/>
      <c r="AL141" s="161"/>
      <c r="AM141" s="161"/>
      <c r="AN141" s="161"/>
      <c r="AO141" s="161"/>
      <c r="AP141" s="161"/>
      <c r="AQ141" s="161"/>
      <c r="AR141" s="161"/>
      <c r="AS141" s="161"/>
      <c r="AT141" s="161"/>
      <c r="AU141" s="161"/>
      <c r="AV141" s="161"/>
      <c r="AW141" s="161"/>
      <c r="AX141" s="161"/>
      <c r="AY141" s="161"/>
      <c r="AZ141" s="161"/>
      <c r="BA141" s="161"/>
      <c r="BB141" s="161"/>
      <c r="BC141" s="161"/>
      <c r="BD141" s="161"/>
      <c r="BE141" s="161"/>
      <c r="BF141" s="161"/>
      <c r="BG141" s="161"/>
      <c r="BH141" s="161"/>
      <c r="BI141" s="161"/>
      <c r="BJ141" s="161"/>
      <c r="BK141" s="161"/>
      <c r="BL141" s="161"/>
      <c r="BM141" s="161"/>
      <c r="BN141" s="161"/>
      <c r="BO141" s="161"/>
      <c r="BP141" s="161"/>
      <c r="BQ141" s="161"/>
      <c r="BR141" s="161"/>
      <c r="BS141" s="161"/>
      <c r="BT141" s="161"/>
      <c r="BU141" s="161"/>
      <c r="BV141" s="161"/>
      <c r="BW141" s="161"/>
      <c r="BX141" s="161"/>
      <c r="BY141" s="161"/>
      <c r="BZ141" s="161"/>
      <c r="CA141" s="161"/>
      <c r="CB141" s="161"/>
      <c r="CC141" s="161"/>
      <c r="CD141" s="161"/>
      <c r="CE141" s="161"/>
      <c r="CF141" s="161"/>
      <c r="CG141" s="161"/>
      <c r="CH141" s="161"/>
      <c r="CI141" s="161"/>
      <c r="CJ141" s="161"/>
      <c r="CK141" s="161"/>
      <c r="CL141" s="161"/>
      <c r="CM141" s="161"/>
      <c r="CN141" s="161"/>
      <c r="CO141" s="161"/>
      <c r="CP141" s="161"/>
      <c r="CQ141" s="161"/>
      <c r="CR141" s="161"/>
      <c r="CS141" s="161"/>
      <c r="CT141" s="161"/>
      <c r="CU141" s="161"/>
      <c r="CV141" s="161"/>
      <c r="CW141" s="161"/>
      <c r="CX141" s="161"/>
      <c r="CY141" s="161"/>
      <c r="CZ141" s="161"/>
      <c r="DA141" s="161"/>
      <c r="DB141" s="161"/>
      <c r="DC141" s="161"/>
      <c r="DD141" s="161"/>
      <c r="DE141" s="161"/>
      <c r="DF141" s="161"/>
      <c r="DG141" s="161"/>
      <c r="DH141" s="161"/>
      <c r="DI141" s="161"/>
      <c r="DJ141" s="161"/>
      <c r="DK141" s="161"/>
      <c r="DL141" s="161"/>
      <c r="DM141" s="161"/>
      <c r="DN141" s="161"/>
      <c r="DO141" s="161"/>
      <c r="DP141" s="161"/>
      <c r="DQ141" s="161"/>
      <c r="DR141" s="161"/>
      <c r="DS141" s="161"/>
      <c r="DT141" s="161"/>
      <c r="DU141" s="161"/>
      <c r="DV141" s="161"/>
      <c r="DW141" s="161"/>
      <c r="DX141" s="161"/>
      <c r="DY141" s="161"/>
      <c r="DZ141" s="161"/>
      <c r="EA141" s="161"/>
      <c r="EB141" s="161"/>
      <c r="EC141" s="161"/>
      <c r="ED141" s="161"/>
      <c r="EE141" s="161"/>
      <c r="EF141" s="161"/>
      <c r="EG141" s="161"/>
      <c r="EH141" s="161"/>
      <c r="EI141" s="161"/>
      <c r="EJ141" s="161"/>
      <c r="EK141" s="161"/>
      <c r="EL141" s="161"/>
      <c r="EM141" s="161"/>
      <c r="EN141" s="161"/>
      <c r="EO141" s="161"/>
      <c r="EP141" s="161"/>
    </row>
    <row r="142" spans="1:146" s="162" customFormat="1" ht="14" hidden="1" customHeight="1">
      <c r="A142" s="169"/>
      <c r="B142" s="170"/>
      <c r="C142" s="172" t="s">
        <v>297</v>
      </c>
      <c r="D142" s="179"/>
      <c r="E142" s="179"/>
      <c r="F142" s="424"/>
      <c r="G142" s="425"/>
      <c r="H142" s="425"/>
      <c r="I142" s="425"/>
      <c r="J142" s="425"/>
      <c r="K142" s="425"/>
      <c r="L142" s="425"/>
      <c r="M142" s="426"/>
      <c r="N142" s="177"/>
      <c r="O142" s="180"/>
      <c r="P142" s="183"/>
      <c r="Q142" s="177"/>
      <c r="R142" s="180"/>
      <c r="S142" s="402" t="s">
        <v>36</v>
      </c>
      <c r="T142" s="403"/>
      <c r="U142" s="181" t="s">
        <v>38</v>
      </c>
      <c r="V142" s="182" t="s">
        <v>46</v>
      </c>
      <c r="W142" s="177"/>
      <c r="X142" s="187"/>
      <c r="Y142" s="188"/>
      <c r="Z142" s="188"/>
      <c r="AA142" s="189"/>
      <c r="AC142"/>
      <c r="AD142"/>
      <c r="AE142"/>
      <c r="AF142"/>
      <c r="AG142"/>
      <c r="AH142"/>
      <c r="AI142"/>
      <c r="AJ142"/>
      <c r="AK142" s="161"/>
      <c r="AL142" s="161"/>
      <c r="AM142" s="161"/>
      <c r="AN142" s="161"/>
      <c r="AO142" s="161"/>
      <c r="AP142" s="161"/>
      <c r="AQ142" s="161"/>
      <c r="AR142" s="161"/>
      <c r="AS142" s="161"/>
      <c r="AT142" s="161"/>
      <c r="AU142" s="161"/>
      <c r="AV142" s="161"/>
      <c r="AW142" s="161"/>
      <c r="AX142" s="161"/>
      <c r="AY142" s="161"/>
      <c r="AZ142" s="161"/>
      <c r="BA142" s="161"/>
      <c r="BB142" s="161"/>
      <c r="BC142" s="161"/>
      <c r="BD142" s="161"/>
      <c r="BE142" s="161"/>
      <c r="BF142" s="161"/>
      <c r="BG142" s="161"/>
      <c r="BH142" s="161"/>
      <c r="BI142" s="161"/>
      <c r="BJ142" s="161"/>
      <c r="BK142" s="161"/>
      <c r="BL142" s="161"/>
      <c r="BM142" s="161"/>
      <c r="BN142" s="161"/>
      <c r="BO142" s="161"/>
      <c r="BP142" s="161"/>
      <c r="BQ142" s="161"/>
      <c r="BR142" s="161"/>
      <c r="BS142" s="161"/>
      <c r="BT142" s="161"/>
      <c r="BU142" s="161"/>
      <c r="BV142" s="161"/>
      <c r="BW142" s="161"/>
      <c r="BX142" s="161"/>
      <c r="BY142" s="161"/>
      <c r="BZ142" s="161"/>
      <c r="CA142" s="161"/>
      <c r="CB142" s="161"/>
      <c r="CC142" s="161"/>
      <c r="CD142" s="161"/>
      <c r="CE142" s="161"/>
      <c r="CF142" s="161"/>
      <c r="CG142" s="161"/>
      <c r="CH142" s="161"/>
      <c r="CI142" s="161"/>
      <c r="CJ142" s="161"/>
      <c r="CK142" s="161"/>
      <c r="CL142" s="161"/>
      <c r="CM142" s="161"/>
      <c r="CN142" s="161"/>
      <c r="CO142" s="161"/>
      <c r="CP142" s="161"/>
      <c r="CQ142" s="161"/>
      <c r="CR142" s="161"/>
      <c r="CS142" s="161"/>
      <c r="CT142" s="161"/>
      <c r="CU142" s="161"/>
      <c r="CV142" s="161"/>
      <c r="CW142" s="161"/>
      <c r="CX142" s="161"/>
      <c r="CY142" s="161"/>
      <c r="CZ142" s="161"/>
      <c r="DA142" s="161"/>
      <c r="DB142" s="161"/>
      <c r="DC142" s="161"/>
      <c r="DD142" s="161"/>
      <c r="DE142" s="161"/>
      <c r="DF142" s="161"/>
      <c r="DG142" s="161"/>
      <c r="DH142" s="161"/>
      <c r="DI142" s="161"/>
      <c r="DJ142" s="161"/>
      <c r="DK142" s="161"/>
      <c r="DL142" s="161"/>
      <c r="DM142" s="161"/>
      <c r="DN142" s="161"/>
      <c r="DO142" s="161"/>
      <c r="DP142" s="161"/>
      <c r="DQ142" s="161"/>
      <c r="DR142" s="161"/>
      <c r="DS142" s="161"/>
      <c r="DT142" s="161"/>
      <c r="DU142" s="161"/>
      <c r="DV142" s="161"/>
      <c r="DW142" s="161"/>
      <c r="DX142" s="161"/>
      <c r="DY142" s="161"/>
      <c r="DZ142" s="161"/>
      <c r="EA142" s="161"/>
      <c r="EB142" s="161"/>
      <c r="EC142" s="161"/>
      <c r="ED142" s="161"/>
      <c r="EE142" s="161"/>
      <c r="EF142" s="161"/>
      <c r="EG142" s="161"/>
      <c r="EH142" s="161"/>
      <c r="EI142" s="161"/>
      <c r="EJ142" s="161"/>
      <c r="EK142" s="161"/>
      <c r="EL142" s="161"/>
      <c r="EM142" s="161"/>
      <c r="EN142" s="161"/>
      <c r="EO142" s="161"/>
      <c r="EP142" s="161"/>
    </row>
    <row r="143" spans="1:146" s="162" customFormat="1" ht="14" hidden="1" customHeight="1">
      <c r="A143" s="190"/>
      <c r="B143" s="191"/>
      <c r="C143" s="172" t="s">
        <v>298</v>
      </c>
      <c r="D143" s="192"/>
      <c r="E143" s="192"/>
      <c r="F143" s="427"/>
      <c r="G143" s="428"/>
      <c r="H143" s="428"/>
      <c r="I143" s="428"/>
      <c r="J143" s="428"/>
      <c r="K143" s="428"/>
      <c r="L143" s="428"/>
      <c r="M143" s="429"/>
      <c r="N143" s="177"/>
      <c r="O143" s="193"/>
      <c r="P143" s="194"/>
      <c r="Q143" s="195"/>
      <c r="R143" s="180"/>
      <c r="S143" s="533" t="s">
        <v>55</v>
      </c>
      <c r="T143" s="534"/>
      <c r="U143" s="196" t="s">
        <v>38</v>
      </c>
      <c r="V143" s="197" t="s">
        <v>47</v>
      </c>
      <c r="W143" s="177"/>
      <c r="X143" s="198"/>
      <c r="Y143" s="199"/>
      <c r="Z143" s="199"/>
      <c r="AA143" s="200"/>
      <c r="AC143"/>
      <c r="AD143"/>
      <c r="AE143"/>
      <c r="AF143"/>
      <c r="AG143"/>
      <c r="AH143"/>
      <c r="AI143"/>
      <c r="AJ143"/>
      <c r="AK143" s="161"/>
      <c r="AL143" s="161"/>
      <c r="AM143" s="161"/>
      <c r="AN143" s="161"/>
      <c r="AO143" s="161"/>
      <c r="AP143" s="161"/>
      <c r="AQ143" s="161"/>
      <c r="AR143" s="161"/>
      <c r="AS143" s="161"/>
      <c r="AT143" s="161"/>
      <c r="AU143" s="161"/>
      <c r="AV143" s="161"/>
      <c r="AW143" s="161"/>
      <c r="AX143" s="161"/>
      <c r="AY143" s="161"/>
      <c r="AZ143" s="161"/>
      <c r="BA143" s="161"/>
      <c r="BB143" s="161"/>
      <c r="BC143" s="161"/>
      <c r="BD143" s="161"/>
      <c r="BE143" s="161"/>
      <c r="BF143" s="161"/>
      <c r="BG143" s="161"/>
      <c r="BH143" s="161"/>
      <c r="BI143" s="161"/>
      <c r="BJ143" s="161"/>
      <c r="BK143" s="161"/>
      <c r="BL143" s="161"/>
      <c r="BM143" s="161"/>
      <c r="BN143" s="161"/>
      <c r="BO143" s="161"/>
      <c r="BP143" s="161"/>
      <c r="BQ143" s="161"/>
      <c r="BR143" s="161"/>
      <c r="BS143" s="161"/>
      <c r="BT143" s="161"/>
      <c r="BU143" s="161"/>
      <c r="BV143" s="161"/>
      <c r="BW143" s="161"/>
      <c r="BX143" s="161"/>
      <c r="BY143" s="161"/>
      <c r="BZ143" s="161"/>
      <c r="CA143" s="161"/>
      <c r="CB143" s="161"/>
      <c r="CC143" s="161"/>
      <c r="CD143" s="161"/>
      <c r="CE143" s="161"/>
      <c r="CF143" s="161"/>
      <c r="CG143" s="161"/>
      <c r="CH143" s="161"/>
      <c r="CI143" s="161"/>
      <c r="CJ143" s="161"/>
      <c r="CK143" s="161"/>
      <c r="CL143" s="161"/>
      <c r="CM143" s="161"/>
      <c r="CN143" s="161"/>
      <c r="CO143" s="161"/>
      <c r="CP143" s="161"/>
      <c r="CQ143" s="161"/>
      <c r="CR143" s="161"/>
      <c r="CS143" s="161"/>
      <c r="CT143" s="161"/>
      <c r="CU143" s="161"/>
      <c r="CV143" s="161"/>
      <c r="CW143" s="161"/>
      <c r="CX143" s="161"/>
      <c r="CY143" s="161"/>
      <c r="CZ143" s="161"/>
      <c r="DA143" s="161"/>
      <c r="DB143" s="161"/>
      <c r="DC143" s="161"/>
      <c r="DD143" s="161"/>
      <c r="DE143" s="161"/>
      <c r="DF143" s="161"/>
      <c r="DG143" s="161"/>
      <c r="DH143" s="161"/>
      <c r="DI143" s="161"/>
      <c r="DJ143" s="161"/>
      <c r="DK143" s="161"/>
      <c r="DL143" s="161"/>
      <c r="DM143" s="161"/>
      <c r="DN143" s="161"/>
      <c r="DO143" s="161"/>
      <c r="DP143" s="161"/>
      <c r="DQ143" s="161"/>
      <c r="DR143" s="161"/>
      <c r="DS143" s="161"/>
      <c r="DT143" s="161"/>
      <c r="DU143" s="161"/>
      <c r="DV143" s="161"/>
      <c r="DW143" s="161"/>
      <c r="DX143" s="161"/>
      <c r="DY143" s="161"/>
      <c r="DZ143" s="161"/>
      <c r="EA143" s="161"/>
      <c r="EB143" s="161"/>
      <c r="EC143" s="161"/>
      <c r="ED143" s="161"/>
      <c r="EE143" s="161"/>
      <c r="EF143" s="161"/>
      <c r="EG143" s="161"/>
      <c r="EH143" s="161"/>
      <c r="EI143" s="161"/>
      <c r="EJ143" s="161"/>
      <c r="EK143" s="161"/>
      <c r="EL143" s="161"/>
      <c r="EM143" s="161"/>
      <c r="EN143" s="161"/>
      <c r="EO143" s="161"/>
      <c r="EP143" s="161"/>
    </row>
    <row r="144" spans="1:146" s="206" customFormat="1" ht="14" hidden="1" customHeight="1">
      <c r="A144" s="201"/>
      <c r="B144" s="202">
        <v>1</v>
      </c>
      <c r="C144" s="172" t="s">
        <v>299</v>
      </c>
      <c r="D144" s="202"/>
      <c r="E144" s="202"/>
      <c r="F144" s="203"/>
      <c r="G144" s="203"/>
      <c r="H144" s="204"/>
      <c r="I144" s="203"/>
      <c r="J144" s="203"/>
      <c r="K144" s="203"/>
      <c r="L144" s="203"/>
      <c r="M144" s="203"/>
      <c r="N144" s="203"/>
      <c r="O144" s="203"/>
      <c r="P144" s="203"/>
      <c r="Q144" s="204"/>
      <c r="R144" s="204"/>
      <c r="S144" s="201" t="str">
        <f>IF(N29&gt;0.19,"Service Fee","Administration Fee")</f>
        <v>Service Fee</v>
      </c>
      <c r="T144" s="201"/>
      <c r="U144" s="201"/>
      <c r="V144" s="201"/>
      <c r="W144" s="201"/>
      <c r="X144" s="201"/>
      <c r="Y144" s="201"/>
      <c r="Z144" s="205"/>
      <c r="AA144" s="201"/>
      <c r="AB144" s="201"/>
      <c r="AC144"/>
      <c r="AD144"/>
      <c r="AE144"/>
      <c r="AF144"/>
      <c r="AG144"/>
      <c r="AH144"/>
      <c r="AI144"/>
      <c r="AJ144"/>
      <c r="AK144" s="161"/>
      <c r="AL144" s="161"/>
      <c r="AM144" s="161"/>
      <c r="AN144" s="161"/>
      <c r="AO144" s="161"/>
      <c r="AP144" s="161"/>
      <c r="AQ144" s="161"/>
      <c r="AR144" s="161"/>
      <c r="AS144" s="161"/>
      <c r="AT144" s="161"/>
      <c r="AU144" s="161"/>
      <c r="AV144" s="161"/>
      <c r="AW144" s="161"/>
      <c r="AX144" s="161"/>
      <c r="AY144" s="161"/>
      <c r="AZ144" s="161"/>
      <c r="BA144" s="161"/>
      <c r="BB144" s="161"/>
      <c r="BC144" s="161"/>
      <c r="BD144" s="161"/>
      <c r="BE144" s="161"/>
      <c r="BF144" s="161"/>
      <c r="BG144" s="161"/>
      <c r="BH144" s="161"/>
      <c r="BI144" s="161"/>
      <c r="BJ144" s="161"/>
      <c r="BK144" s="161"/>
      <c r="BL144" s="161"/>
      <c r="BM144" s="161"/>
      <c r="BN144" s="161"/>
      <c r="BO144" s="161"/>
      <c r="BP144" s="161"/>
      <c r="BQ144" s="161"/>
      <c r="BR144" s="161"/>
      <c r="BS144" s="161"/>
      <c r="BT144" s="161"/>
      <c r="BU144" s="161"/>
      <c r="BV144" s="161"/>
      <c r="BW144" s="161"/>
      <c r="BX144" s="161"/>
      <c r="BY144" s="161"/>
      <c r="BZ144" s="161"/>
      <c r="CA144" s="161"/>
      <c r="CB144" s="161"/>
      <c r="CC144" s="161"/>
      <c r="CD144" s="161"/>
      <c r="CE144" s="161"/>
      <c r="CF144" s="161"/>
      <c r="CG144" s="161"/>
      <c r="CH144" s="161"/>
      <c r="CI144" s="161"/>
      <c r="CJ144" s="161"/>
      <c r="CK144" s="161"/>
      <c r="CL144" s="161"/>
      <c r="CM144" s="161"/>
      <c r="CN144" s="161"/>
      <c r="CO144" s="161"/>
      <c r="CP144" s="161"/>
      <c r="CQ144" s="161"/>
      <c r="CR144" s="161"/>
      <c r="CS144" s="161"/>
      <c r="CT144" s="161"/>
      <c r="CU144" s="161"/>
      <c r="CV144" s="161"/>
      <c r="CW144" s="161"/>
      <c r="CX144" s="161"/>
      <c r="CY144" s="161"/>
      <c r="CZ144" s="161"/>
      <c r="DA144" s="161"/>
      <c r="DB144" s="161"/>
      <c r="DC144" s="161"/>
      <c r="DD144" s="161"/>
      <c r="DE144" s="161"/>
      <c r="DF144" s="161"/>
      <c r="DG144" s="161"/>
      <c r="DH144" s="161"/>
      <c r="DI144" s="161"/>
      <c r="DJ144" s="161"/>
      <c r="DK144" s="161"/>
      <c r="DL144" s="161"/>
      <c r="DM144" s="161"/>
      <c r="DN144" s="161"/>
      <c r="DO144" s="161"/>
      <c r="DP144" s="161"/>
      <c r="DQ144" s="161"/>
      <c r="DR144" s="161"/>
      <c r="DS144" s="161"/>
      <c r="DT144" s="161"/>
      <c r="DU144" s="161"/>
      <c r="DV144" s="161"/>
      <c r="DW144" s="161"/>
      <c r="DX144" s="161"/>
      <c r="DY144" s="161"/>
      <c r="DZ144" s="161"/>
      <c r="EA144" s="161"/>
      <c r="EB144" s="161"/>
      <c r="EC144" s="161"/>
      <c r="ED144" s="161"/>
      <c r="EE144" s="161"/>
      <c r="EF144" s="161"/>
      <c r="EG144" s="161"/>
      <c r="EH144" s="161"/>
      <c r="EI144" s="161"/>
      <c r="EJ144" s="161"/>
      <c r="EK144" s="161"/>
      <c r="EL144" s="161"/>
      <c r="EM144" s="161"/>
      <c r="EN144" s="161"/>
      <c r="EO144" s="161"/>
      <c r="EP144" s="161"/>
    </row>
    <row r="145" spans="1:146" s="207" customFormat="1" ht="14" hidden="1" customHeight="1">
      <c r="B145" s="208">
        <f>B22</f>
        <v>42542</v>
      </c>
      <c r="C145" s="209" t="s">
        <v>98</v>
      </c>
      <c r="D145" s="209"/>
      <c r="E145" s="210" t="str">
        <f>IF(I22&gt;0.625,"D","L")</f>
        <v>L</v>
      </c>
      <c r="F145" s="422"/>
      <c r="G145" s="422"/>
      <c r="H145" s="211"/>
      <c r="I145" s="211"/>
      <c r="J145" s="211"/>
      <c r="K145" s="211"/>
      <c r="L145" s="211"/>
      <c r="M145" s="211"/>
      <c r="N145" s="211">
        <v>2</v>
      </c>
      <c r="O145" s="211"/>
      <c r="P145" s="211">
        <v>2</v>
      </c>
      <c r="Q145" s="211"/>
      <c r="R145" s="211"/>
      <c r="S145" s="207">
        <v>10</v>
      </c>
      <c r="V145" s="212">
        <v>6</v>
      </c>
      <c r="W145" s="212"/>
      <c r="X145" s="212"/>
      <c r="Z145" s="213">
        <v>3</v>
      </c>
      <c r="AA145" s="214" t="str">
        <f>IF(Z145=1,V135,IF(Z145=2,V136,IF(Z145=3,V137,IF(Z145=4,V138,IF(Z145=5,V139,IF(Z145=6,V140,IF(Z145=7,V141,IF(Z145=8,V142,IF(Z145=9,V143,"")))))))))</f>
        <v>BA</v>
      </c>
      <c r="AC145"/>
      <c r="AD145"/>
      <c r="AE145"/>
      <c r="AF145"/>
      <c r="AG145"/>
      <c r="AH145"/>
      <c r="AI145"/>
      <c r="AJ145"/>
      <c r="AK145" s="161"/>
      <c r="AL145" s="161"/>
      <c r="AM145" s="161"/>
      <c r="AN145" s="161"/>
      <c r="AO145" s="161"/>
      <c r="AP145" s="161"/>
      <c r="AQ145" s="161"/>
      <c r="AR145" s="161"/>
      <c r="AS145" s="161"/>
      <c r="AT145" s="161"/>
      <c r="AU145" s="161"/>
      <c r="AV145" s="161"/>
      <c r="AW145" s="161"/>
      <c r="AX145" s="161"/>
      <c r="AY145" s="161"/>
      <c r="AZ145" s="161"/>
      <c r="BA145" s="161"/>
      <c r="BB145" s="161"/>
      <c r="BC145" s="161"/>
      <c r="BD145" s="161"/>
      <c r="BE145" s="161"/>
      <c r="BF145" s="161"/>
      <c r="BG145" s="161"/>
      <c r="BH145" s="161"/>
      <c r="BI145" s="161"/>
      <c r="BJ145" s="161"/>
      <c r="BK145" s="161"/>
      <c r="BL145" s="161"/>
      <c r="BM145" s="161"/>
      <c r="BN145" s="161"/>
      <c r="BO145" s="161"/>
      <c r="BP145" s="161"/>
      <c r="BQ145" s="161"/>
      <c r="BR145" s="161"/>
      <c r="BS145" s="161"/>
      <c r="BT145" s="161"/>
      <c r="BU145" s="161"/>
      <c r="BV145" s="161"/>
      <c r="BW145" s="161"/>
      <c r="BX145" s="161"/>
      <c r="BY145" s="161"/>
      <c r="BZ145" s="161"/>
      <c r="CA145" s="161"/>
      <c r="CB145" s="161"/>
      <c r="CC145" s="161"/>
      <c r="CD145" s="161"/>
      <c r="CE145" s="161"/>
      <c r="CF145" s="161"/>
      <c r="CG145" s="161"/>
      <c r="CH145" s="161"/>
      <c r="CI145" s="161"/>
      <c r="CJ145" s="161"/>
      <c r="CK145" s="161"/>
      <c r="CL145" s="161"/>
      <c r="CM145" s="161"/>
      <c r="CN145" s="161"/>
      <c r="CO145" s="161"/>
      <c r="CP145" s="161"/>
      <c r="CQ145" s="161"/>
      <c r="CR145" s="161"/>
      <c r="CS145" s="161"/>
      <c r="CT145" s="161"/>
      <c r="CU145" s="161"/>
      <c r="CV145" s="161"/>
      <c r="CW145" s="161"/>
      <c r="CX145" s="161"/>
      <c r="CY145" s="161"/>
      <c r="CZ145" s="161"/>
      <c r="DA145" s="161"/>
      <c r="DB145" s="161"/>
      <c r="DC145" s="161"/>
      <c r="DD145" s="161"/>
      <c r="DE145" s="161"/>
      <c r="DF145" s="161"/>
      <c r="DG145" s="161"/>
      <c r="DH145" s="161"/>
      <c r="DI145" s="161"/>
      <c r="DJ145" s="161"/>
      <c r="DK145" s="161"/>
      <c r="DL145" s="161"/>
      <c r="DM145" s="161"/>
      <c r="DN145" s="161"/>
      <c r="DO145" s="161"/>
      <c r="DP145" s="161"/>
      <c r="DQ145" s="161"/>
      <c r="DR145" s="161"/>
      <c r="DS145" s="161"/>
      <c r="DT145" s="161"/>
      <c r="DU145" s="161"/>
      <c r="DV145" s="161"/>
      <c r="DW145" s="161"/>
      <c r="DX145" s="161"/>
      <c r="DY145" s="161"/>
      <c r="DZ145" s="161"/>
      <c r="EA145" s="161"/>
      <c r="EB145" s="161"/>
      <c r="EC145" s="161"/>
      <c r="ED145" s="161"/>
      <c r="EE145" s="161"/>
      <c r="EF145" s="161"/>
      <c r="EG145" s="161"/>
      <c r="EH145" s="161"/>
      <c r="EI145" s="161"/>
      <c r="EJ145" s="161"/>
      <c r="EK145" s="161"/>
      <c r="EL145" s="161"/>
      <c r="EM145" s="161"/>
      <c r="EN145" s="161"/>
      <c r="EO145" s="161"/>
      <c r="EP145" s="161"/>
    </row>
    <row r="146" spans="1:146" s="162" customFormat="1" ht="14" hidden="1" customHeight="1">
      <c r="A146" s="215"/>
      <c r="B146" s="215"/>
      <c r="C146" s="215"/>
      <c r="D146" s="215"/>
      <c r="E146" s="215"/>
      <c r="F146" s="215"/>
      <c r="G146" s="215"/>
      <c r="H146" s="215"/>
      <c r="I146" s="215"/>
      <c r="J146" s="215"/>
      <c r="K146" s="215"/>
      <c r="L146" s="215"/>
      <c r="M146" s="185"/>
      <c r="N146" s="185"/>
      <c r="O146" s="185"/>
      <c r="P146" s="185"/>
      <c r="Q146" s="188"/>
      <c r="R146" s="215"/>
      <c r="S146" s="215"/>
      <c r="T146" s="215"/>
      <c r="U146" s="215"/>
      <c r="V146" s="215"/>
      <c r="W146" s="215"/>
      <c r="X146" s="215"/>
      <c r="Y146" s="215"/>
      <c r="Z146" s="215"/>
      <c r="AA146" s="215"/>
      <c r="AB146" s="188"/>
      <c r="AC146"/>
      <c r="AD146"/>
      <c r="AE146"/>
      <c r="AF146"/>
      <c r="AG146"/>
      <c r="AH146"/>
      <c r="AI146"/>
      <c r="AJ146"/>
      <c r="AK146" s="161"/>
      <c r="AL146" s="161"/>
      <c r="AM146" s="161"/>
      <c r="AN146" s="161"/>
      <c r="AO146" s="161"/>
      <c r="AP146" s="161"/>
      <c r="AQ146" s="161"/>
      <c r="AR146" s="161"/>
      <c r="AS146" s="161"/>
      <c r="AT146" s="161"/>
      <c r="AU146" s="161"/>
      <c r="AV146" s="161"/>
      <c r="AW146" s="161"/>
      <c r="AX146" s="161"/>
      <c r="AY146" s="161"/>
      <c r="AZ146" s="161"/>
      <c r="BA146" s="161"/>
      <c r="BB146" s="161"/>
      <c r="BC146" s="161"/>
      <c r="BD146" s="161"/>
      <c r="BE146" s="161"/>
      <c r="BF146" s="161"/>
      <c r="BG146" s="161"/>
      <c r="BH146" s="161"/>
      <c r="BI146" s="161"/>
      <c r="BJ146" s="161"/>
      <c r="BK146" s="161"/>
      <c r="BL146" s="161"/>
      <c r="BM146" s="161"/>
      <c r="BN146" s="161"/>
      <c r="BO146" s="161"/>
      <c r="BP146" s="161"/>
      <c r="BQ146" s="161"/>
      <c r="BR146" s="161"/>
      <c r="BS146" s="161"/>
      <c r="BT146" s="161"/>
      <c r="BU146" s="161"/>
      <c r="BV146" s="161"/>
      <c r="BW146" s="161"/>
      <c r="BX146" s="161"/>
      <c r="BY146" s="161"/>
      <c r="BZ146" s="161"/>
      <c r="CA146" s="161"/>
      <c r="CB146" s="161"/>
      <c r="CC146" s="161"/>
      <c r="CD146" s="161"/>
      <c r="CE146" s="161"/>
      <c r="CF146" s="161"/>
      <c r="CG146" s="161"/>
      <c r="CH146" s="161"/>
      <c r="CI146" s="161"/>
      <c r="CJ146" s="161"/>
      <c r="CK146" s="161"/>
      <c r="CL146" s="161"/>
      <c r="CM146" s="161"/>
      <c r="CN146" s="161"/>
      <c r="CO146" s="161"/>
      <c r="CP146" s="161"/>
      <c r="CQ146" s="161"/>
      <c r="CR146" s="161"/>
      <c r="CS146" s="161"/>
      <c r="CT146" s="161"/>
      <c r="CU146" s="161"/>
      <c r="CV146" s="161"/>
      <c r="CW146" s="161"/>
      <c r="CX146" s="161"/>
      <c r="CY146" s="161"/>
      <c r="CZ146" s="161"/>
      <c r="DA146" s="161"/>
      <c r="DB146" s="161"/>
      <c r="DC146" s="161"/>
      <c r="DD146" s="161"/>
      <c r="DE146" s="161"/>
      <c r="DF146" s="161"/>
      <c r="DG146" s="161"/>
      <c r="DH146" s="161"/>
      <c r="DI146" s="161"/>
      <c r="DJ146" s="161"/>
      <c r="DK146" s="161"/>
      <c r="DL146" s="161"/>
      <c r="DM146" s="161"/>
      <c r="DN146" s="161"/>
      <c r="DO146" s="161"/>
      <c r="DP146" s="161"/>
      <c r="DQ146" s="161"/>
      <c r="DR146" s="161"/>
      <c r="DS146" s="161"/>
      <c r="DT146" s="161"/>
      <c r="DU146" s="161"/>
      <c r="DV146" s="161"/>
      <c r="DW146" s="161"/>
      <c r="DX146" s="161"/>
      <c r="DY146" s="161"/>
      <c r="DZ146" s="161"/>
      <c r="EA146" s="161"/>
      <c r="EB146" s="161"/>
      <c r="EC146" s="161"/>
      <c r="ED146" s="161"/>
      <c r="EE146" s="161"/>
      <c r="EF146" s="161"/>
      <c r="EG146" s="161"/>
      <c r="EH146" s="161"/>
      <c r="EI146" s="161"/>
      <c r="EJ146" s="161"/>
      <c r="EK146" s="161"/>
      <c r="EL146" s="161"/>
      <c r="EM146" s="161"/>
      <c r="EN146" s="161"/>
      <c r="EO146" s="161"/>
      <c r="EP146" s="161"/>
    </row>
    <row r="147" spans="1:146" s="162" customFormat="1" ht="14" hidden="1" customHeight="1">
      <c r="A147" s="423"/>
      <c r="B147" s="423"/>
      <c r="C147" s="423"/>
      <c r="D147" s="423"/>
      <c r="E147" s="423"/>
      <c r="F147" s="423"/>
      <c r="G147" s="423"/>
      <c r="H147" s="423"/>
      <c r="I147" s="423"/>
      <c r="J147" s="423"/>
      <c r="K147" s="423"/>
      <c r="L147" s="423"/>
      <c r="M147" s="423"/>
      <c r="N147" s="423"/>
      <c r="O147" s="423"/>
      <c r="P147" s="423"/>
      <c r="Q147" s="423"/>
      <c r="R147" s="423"/>
      <c r="S147" s="423"/>
      <c r="T147" s="423"/>
      <c r="U147" s="423"/>
      <c r="V147" s="423"/>
      <c r="W147" s="423"/>
      <c r="X147" s="423"/>
      <c r="Y147" s="423"/>
      <c r="Z147" s="423"/>
      <c r="AA147" s="423"/>
      <c r="AB147" s="423"/>
      <c r="AC147"/>
      <c r="AD147"/>
      <c r="AE147"/>
      <c r="AF147"/>
      <c r="AG147"/>
      <c r="AH147"/>
      <c r="AI147"/>
      <c r="AJ147"/>
      <c r="AK147" s="161"/>
      <c r="AL147" s="161"/>
      <c r="AM147" s="161"/>
      <c r="AN147" s="161"/>
      <c r="AO147" s="161"/>
      <c r="AP147" s="161"/>
      <c r="AQ147" s="161"/>
      <c r="AR147" s="161"/>
      <c r="AS147" s="161"/>
      <c r="AT147" s="161"/>
      <c r="AU147" s="161"/>
      <c r="AV147" s="161"/>
      <c r="AW147" s="161"/>
      <c r="AX147" s="161"/>
      <c r="AY147" s="161"/>
      <c r="AZ147" s="161"/>
      <c r="BA147" s="161"/>
      <c r="BB147" s="161"/>
      <c r="BC147" s="161"/>
      <c r="BD147" s="161"/>
      <c r="BE147" s="161"/>
      <c r="BF147" s="161"/>
      <c r="BG147" s="161"/>
      <c r="BH147" s="161"/>
      <c r="BI147" s="161"/>
      <c r="BJ147" s="161"/>
      <c r="BK147" s="161"/>
      <c r="BL147" s="161"/>
      <c r="BM147" s="161"/>
      <c r="BN147" s="161"/>
      <c r="BO147" s="161"/>
      <c r="BP147" s="161"/>
      <c r="BQ147" s="161"/>
      <c r="BR147" s="161"/>
      <c r="BS147" s="161"/>
      <c r="BT147" s="161"/>
      <c r="BU147" s="161"/>
      <c r="BV147" s="161"/>
      <c r="BW147" s="161"/>
      <c r="BX147" s="161"/>
      <c r="BY147" s="161"/>
      <c r="BZ147" s="161"/>
      <c r="CA147" s="161"/>
      <c r="CB147" s="161"/>
      <c r="CC147" s="161"/>
      <c r="CD147" s="161"/>
      <c r="CE147" s="161"/>
      <c r="CF147" s="161"/>
      <c r="CG147" s="161"/>
      <c r="CH147" s="161"/>
      <c r="CI147" s="161"/>
      <c r="CJ147" s="161"/>
      <c r="CK147" s="161"/>
      <c r="CL147" s="161"/>
      <c r="CM147" s="161"/>
      <c r="CN147" s="161"/>
      <c r="CO147" s="161"/>
      <c r="CP147" s="161"/>
      <c r="CQ147" s="161"/>
      <c r="CR147" s="161"/>
      <c r="CS147" s="161"/>
      <c r="CT147" s="161"/>
      <c r="CU147" s="161"/>
      <c r="CV147" s="161"/>
      <c r="CW147" s="161"/>
      <c r="CX147" s="161"/>
      <c r="CY147" s="161"/>
      <c r="CZ147" s="161"/>
      <c r="DA147" s="161"/>
      <c r="DB147" s="161"/>
      <c r="DC147" s="161"/>
      <c r="DD147" s="161"/>
      <c r="DE147" s="161"/>
      <c r="DF147" s="161"/>
      <c r="DG147" s="161"/>
      <c r="DH147" s="161"/>
      <c r="DI147" s="161"/>
      <c r="DJ147" s="161"/>
      <c r="DK147" s="161"/>
      <c r="DL147" s="161"/>
      <c r="DM147" s="161"/>
      <c r="DN147" s="161"/>
      <c r="DO147" s="161"/>
      <c r="DP147" s="161"/>
      <c r="DQ147" s="161"/>
      <c r="DR147" s="161"/>
      <c r="DS147" s="161"/>
      <c r="DT147" s="161"/>
      <c r="DU147" s="161"/>
      <c r="DV147" s="161"/>
      <c r="DW147" s="161"/>
      <c r="DX147" s="161"/>
      <c r="DY147" s="161"/>
      <c r="DZ147" s="161"/>
      <c r="EA147" s="161"/>
      <c r="EB147" s="161"/>
      <c r="EC147" s="161"/>
      <c r="ED147" s="161"/>
      <c r="EE147" s="161"/>
      <c r="EF147" s="161"/>
      <c r="EG147" s="161"/>
      <c r="EH147" s="161"/>
      <c r="EI147" s="161"/>
      <c r="EJ147" s="161"/>
      <c r="EK147" s="161"/>
      <c r="EL147" s="161"/>
      <c r="EM147" s="161"/>
      <c r="EN147" s="161"/>
      <c r="EO147" s="161"/>
      <c r="EP147" s="161"/>
    </row>
    <row r="148" spans="1:146" s="162" customFormat="1" ht="14" hidden="1" customHeight="1">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c r="AA148" s="161"/>
      <c r="AC148"/>
      <c r="AD148"/>
      <c r="AE148"/>
      <c r="AF148"/>
      <c r="AG148"/>
      <c r="AH148"/>
      <c r="AI148"/>
      <c r="AJ148"/>
      <c r="AK148" s="161"/>
      <c r="AL148" s="161"/>
      <c r="AM148" s="161"/>
      <c r="AN148" s="161"/>
      <c r="AO148" s="161"/>
      <c r="AP148" s="161"/>
      <c r="AQ148" s="161"/>
      <c r="AR148" s="161"/>
      <c r="AS148" s="161"/>
      <c r="AT148" s="161"/>
      <c r="AU148" s="161"/>
      <c r="AV148" s="161"/>
      <c r="AW148" s="161"/>
      <c r="AX148" s="161"/>
      <c r="AY148" s="161"/>
      <c r="AZ148" s="161"/>
      <c r="BA148" s="161"/>
      <c r="BB148" s="161"/>
      <c r="BC148" s="161"/>
      <c r="BD148" s="161"/>
      <c r="BE148" s="161"/>
      <c r="BF148" s="161"/>
      <c r="BG148" s="161"/>
      <c r="BH148" s="161"/>
      <c r="BI148" s="161"/>
      <c r="BJ148" s="161"/>
      <c r="BK148" s="161"/>
      <c r="BL148" s="161"/>
      <c r="BM148" s="161"/>
      <c r="BN148" s="161"/>
      <c r="BO148" s="161"/>
      <c r="BP148" s="161"/>
      <c r="BQ148" s="161"/>
      <c r="BR148" s="161"/>
      <c r="BS148" s="161"/>
      <c r="BT148" s="161"/>
      <c r="BU148" s="161"/>
      <c r="BV148" s="161"/>
      <c r="BW148" s="161"/>
      <c r="BX148" s="161"/>
      <c r="BY148" s="161"/>
      <c r="BZ148" s="161"/>
      <c r="CA148" s="161"/>
      <c r="CB148" s="161"/>
      <c r="CC148" s="161"/>
      <c r="CD148" s="161"/>
      <c r="CE148" s="161"/>
      <c r="CF148" s="161"/>
      <c r="CG148" s="161"/>
      <c r="CH148" s="161"/>
      <c r="CI148" s="161"/>
      <c r="CJ148" s="161"/>
      <c r="CK148" s="161"/>
      <c r="CL148" s="161"/>
      <c r="CM148" s="161"/>
      <c r="CN148" s="161"/>
      <c r="CO148" s="161"/>
      <c r="CP148" s="161"/>
      <c r="CQ148" s="161"/>
      <c r="CR148" s="161"/>
      <c r="CS148" s="161"/>
      <c r="CT148" s="161"/>
      <c r="CU148" s="161"/>
      <c r="CV148" s="161"/>
      <c r="CW148" s="161"/>
      <c r="CX148" s="161"/>
      <c r="CY148" s="161"/>
      <c r="CZ148" s="161"/>
      <c r="DA148" s="161"/>
      <c r="DB148" s="161"/>
      <c r="DC148" s="161"/>
      <c r="DD148" s="161"/>
      <c r="DE148" s="161"/>
      <c r="DF148" s="161"/>
      <c r="DG148" s="161"/>
      <c r="DH148" s="161"/>
      <c r="DI148" s="161"/>
      <c r="DJ148" s="161"/>
      <c r="DK148" s="161"/>
      <c r="DL148" s="161"/>
      <c r="DM148" s="161"/>
      <c r="DN148" s="161"/>
      <c r="DO148" s="161"/>
      <c r="DP148" s="161"/>
      <c r="DQ148" s="161"/>
      <c r="DR148" s="161"/>
      <c r="DS148" s="161"/>
      <c r="DT148" s="161"/>
      <c r="DU148" s="161"/>
      <c r="DV148" s="161"/>
      <c r="DW148" s="161"/>
      <c r="DX148" s="161"/>
      <c r="DY148" s="161"/>
      <c r="DZ148" s="161"/>
      <c r="EA148" s="161"/>
      <c r="EB148" s="161"/>
      <c r="EC148" s="161"/>
      <c r="ED148" s="161"/>
      <c r="EE148" s="161"/>
      <c r="EF148" s="161"/>
      <c r="EG148" s="161"/>
      <c r="EH148" s="161"/>
      <c r="EI148" s="161"/>
      <c r="EJ148" s="161"/>
      <c r="EK148" s="161"/>
      <c r="EL148" s="161"/>
      <c r="EM148" s="161"/>
      <c r="EN148" s="161"/>
      <c r="EO148" s="161"/>
      <c r="EP148" s="161"/>
    </row>
    <row r="149" spans="1:146" s="162" customFormat="1" ht="14" hidden="1" customHeight="1">
      <c r="A149" s="161"/>
      <c r="B149" s="514">
        <f>B22-3</f>
        <v>42539</v>
      </c>
      <c r="C149" s="514"/>
      <c r="D149" s="514"/>
      <c r="E149" s="514"/>
      <c r="F149" s="514"/>
      <c r="G149" s="514"/>
      <c r="H149" s="514"/>
      <c r="I149" s="514"/>
      <c r="J149" s="514"/>
      <c r="K149" s="514"/>
      <c r="L149" s="514"/>
      <c r="M149" s="514"/>
      <c r="N149" s="514"/>
      <c r="O149" s="514"/>
      <c r="P149" s="514"/>
      <c r="Q149" s="514"/>
      <c r="R149" s="514"/>
      <c r="S149" s="514"/>
      <c r="T149" s="514"/>
      <c r="U149" s="514"/>
      <c r="V149" s="514"/>
      <c r="W149" s="514"/>
      <c r="X149" s="514"/>
      <c r="Y149" s="514"/>
      <c r="Z149" s="514"/>
      <c r="AA149" s="514"/>
      <c r="AC149"/>
      <c r="AD149"/>
      <c r="AE149"/>
      <c r="AF149"/>
      <c r="AG149"/>
      <c r="AH149"/>
      <c r="AI149"/>
      <c r="AJ149"/>
      <c r="AK149" s="161"/>
      <c r="AL149" s="161"/>
      <c r="AM149" s="161"/>
      <c r="AN149" s="161"/>
      <c r="AO149" s="161"/>
      <c r="AP149" s="161"/>
      <c r="AQ149" s="161"/>
      <c r="AR149" s="161"/>
      <c r="AS149" s="161"/>
      <c r="AT149" s="161"/>
      <c r="AU149" s="161"/>
      <c r="AV149" s="161"/>
      <c r="AW149" s="161"/>
      <c r="AX149" s="161"/>
      <c r="AY149" s="161"/>
      <c r="AZ149" s="161"/>
      <c r="BA149" s="161"/>
      <c r="BB149" s="161"/>
      <c r="BC149" s="161"/>
      <c r="BD149" s="161"/>
      <c r="BE149" s="161"/>
      <c r="BF149" s="161"/>
      <c r="BG149" s="161"/>
      <c r="BH149" s="161"/>
      <c r="BI149" s="161"/>
      <c r="BJ149" s="161"/>
      <c r="BK149" s="161"/>
      <c r="BL149" s="161"/>
      <c r="BM149" s="161"/>
      <c r="BN149" s="161"/>
      <c r="BO149" s="161"/>
      <c r="BP149" s="161"/>
      <c r="BQ149" s="161"/>
      <c r="BR149" s="161"/>
      <c r="BS149" s="161"/>
      <c r="BT149" s="161"/>
      <c r="BU149" s="161"/>
      <c r="BV149" s="161"/>
      <c r="BW149" s="161"/>
      <c r="BX149" s="161"/>
      <c r="BY149" s="161"/>
      <c r="BZ149" s="161"/>
      <c r="CA149" s="161"/>
      <c r="CB149" s="161"/>
      <c r="CC149" s="161"/>
      <c r="CD149" s="161"/>
      <c r="CE149" s="161"/>
      <c r="CF149" s="161"/>
      <c r="CG149" s="161"/>
      <c r="CH149" s="161"/>
      <c r="CI149" s="161"/>
      <c r="CJ149" s="161"/>
      <c r="CK149" s="161"/>
      <c r="CL149" s="161"/>
      <c r="CM149" s="161"/>
      <c r="CN149" s="161"/>
      <c r="CO149" s="161"/>
      <c r="CP149" s="161"/>
      <c r="CQ149" s="161"/>
      <c r="CR149" s="161"/>
      <c r="CS149" s="161"/>
      <c r="CT149" s="161"/>
      <c r="CU149" s="161"/>
      <c r="CV149" s="161"/>
      <c r="CW149" s="161"/>
      <c r="CX149" s="161"/>
      <c r="CY149" s="161"/>
      <c r="CZ149" s="161"/>
      <c r="DA149" s="161"/>
      <c r="DB149" s="161"/>
      <c r="DC149" s="161"/>
      <c r="DD149" s="161"/>
      <c r="DE149" s="161"/>
      <c r="DF149" s="161"/>
      <c r="DG149" s="161"/>
      <c r="DH149" s="161"/>
      <c r="DI149" s="161"/>
      <c r="DJ149" s="161"/>
      <c r="DK149" s="161"/>
      <c r="DL149" s="161"/>
      <c r="DM149" s="161"/>
      <c r="DN149" s="161"/>
      <c r="DO149" s="161"/>
      <c r="DP149" s="161"/>
      <c r="DQ149" s="161"/>
      <c r="DR149" s="161"/>
      <c r="DS149" s="161"/>
      <c r="DT149" s="161"/>
      <c r="DU149" s="161"/>
      <c r="DV149" s="161"/>
      <c r="DW149" s="161"/>
      <c r="DX149" s="161"/>
      <c r="DY149" s="161"/>
      <c r="DZ149" s="161"/>
      <c r="EA149" s="161"/>
      <c r="EB149" s="161"/>
      <c r="EC149" s="161"/>
      <c r="ED149" s="161"/>
      <c r="EE149" s="161"/>
      <c r="EF149" s="161"/>
      <c r="EG149" s="161"/>
      <c r="EH149" s="161"/>
      <c r="EI149" s="161"/>
      <c r="EJ149" s="161"/>
      <c r="EK149" s="161"/>
      <c r="EL149" s="161"/>
      <c r="EM149" s="161"/>
      <c r="EN149" s="161"/>
      <c r="EO149" s="161"/>
      <c r="EP149" s="161"/>
    </row>
    <row r="150" spans="1:146" s="162" customFormat="1" ht="14" hidden="1" customHeight="1">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c r="AC150"/>
      <c r="AD150"/>
      <c r="AE150"/>
      <c r="AF150"/>
      <c r="AG150"/>
      <c r="AH150"/>
      <c r="AI150"/>
      <c r="AJ150"/>
      <c r="AK150" s="161"/>
      <c r="AL150" s="161"/>
      <c r="AM150" s="161"/>
      <c r="AN150" s="161"/>
      <c r="AO150" s="161"/>
      <c r="AP150" s="161"/>
      <c r="AQ150" s="161"/>
      <c r="AR150" s="161"/>
      <c r="AS150" s="161"/>
      <c r="AT150" s="161"/>
      <c r="AU150" s="161"/>
      <c r="AV150" s="161"/>
      <c r="AW150" s="161"/>
      <c r="AX150" s="161"/>
      <c r="AY150" s="161"/>
      <c r="AZ150" s="161"/>
      <c r="BA150" s="161"/>
      <c r="BB150" s="161"/>
      <c r="BC150" s="161"/>
      <c r="BD150" s="161"/>
      <c r="BE150" s="161"/>
      <c r="BF150" s="161"/>
      <c r="BG150" s="161"/>
      <c r="BH150" s="161"/>
      <c r="BI150" s="161"/>
      <c r="BJ150" s="161"/>
      <c r="BK150" s="161"/>
      <c r="BL150" s="161"/>
      <c r="BM150" s="161"/>
      <c r="BN150" s="161"/>
      <c r="BO150" s="161"/>
      <c r="BP150" s="161"/>
      <c r="BQ150" s="161"/>
      <c r="BR150" s="161"/>
      <c r="BS150" s="161"/>
      <c r="BT150" s="161"/>
      <c r="BU150" s="161"/>
      <c r="BV150" s="161"/>
      <c r="BW150" s="161"/>
      <c r="BX150" s="161"/>
      <c r="BY150" s="161"/>
      <c r="BZ150" s="161"/>
      <c r="CA150" s="161"/>
      <c r="CB150" s="161"/>
      <c r="CC150" s="161"/>
      <c r="CD150" s="161"/>
      <c r="CE150" s="161"/>
      <c r="CF150" s="161"/>
      <c r="CG150" s="161"/>
      <c r="CH150" s="161"/>
      <c r="CI150" s="161"/>
      <c r="CJ150" s="161"/>
      <c r="CK150" s="161"/>
      <c r="CL150" s="161"/>
      <c r="CM150" s="161"/>
      <c r="CN150" s="161"/>
      <c r="CO150" s="161"/>
      <c r="CP150" s="161"/>
      <c r="CQ150" s="161"/>
      <c r="CR150" s="161"/>
      <c r="CS150" s="161"/>
      <c r="CT150" s="161"/>
      <c r="CU150" s="161"/>
      <c r="CV150" s="161"/>
      <c r="CW150" s="161"/>
      <c r="CX150" s="161"/>
      <c r="CY150" s="161"/>
      <c r="CZ150" s="161"/>
      <c r="DA150" s="161"/>
      <c r="DB150" s="161"/>
      <c r="DC150" s="161"/>
      <c r="DD150" s="161"/>
      <c r="DE150" s="161"/>
      <c r="DF150" s="161"/>
      <c r="DG150" s="161"/>
      <c r="DH150" s="161"/>
      <c r="DI150" s="161"/>
      <c r="DJ150" s="161"/>
      <c r="DK150" s="161"/>
      <c r="DL150" s="161"/>
      <c r="DM150" s="161"/>
      <c r="DN150" s="161"/>
      <c r="DO150" s="161"/>
      <c r="DP150" s="161"/>
      <c r="DQ150" s="161"/>
      <c r="DR150" s="161"/>
      <c r="DS150" s="161"/>
      <c r="DT150" s="161"/>
      <c r="DU150" s="161"/>
      <c r="DV150" s="161"/>
      <c r="DW150" s="161"/>
      <c r="DX150" s="161"/>
      <c r="DY150" s="161"/>
      <c r="DZ150" s="161"/>
      <c r="EA150" s="161"/>
      <c r="EB150" s="161"/>
      <c r="EC150" s="161"/>
      <c r="ED150" s="161"/>
      <c r="EE150" s="161"/>
      <c r="EF150" s="161"/>
      <c r="EG150" s="161"/>
      <c r="EH150" s="161"/>
      <c r="EI150" s="161"/>
      <c r="EJ150" s="161"/>
      <c r="EK150" s="161"/>
      <c r="EL150" s="161"/>
      <c r="EM150" s="161"/>
      <c r="EN150" s="161"/>
      <c r="EO150" s="161"/>
      <c r="EP150" s="161"/>
    </row>
    <row r="151" spans="1:146" s="162" customFormat="1" ht="112" hidden="1" customHeight="1">
      <c r="A151" s="161"/>
      <c r="B151" s="513" t="str">
        <f>CONCATENATE("PAYMENT: Payment for UCLA Purchase Order (PO) Events is due within one (1) month of the Event Date."&amp;" A member of the attending Event wait staff will present Host with an estimate itemized invoice at the conclusion of the Event for your approval and signature."," A final itimized Event invoice, per the terms of this Agreement, will follow via email the next business day."," Any additional Food, Beverage or Event services provided as an accommodation to the Host, not contemplated in this Event Agreement,"&amp;" will be included in the final itemized Event invoice.")</f>
        <v>PAYMENT: Payment for UCLA Purchase Order (PO) Events is due within one (1) month of the Event Date. A member of the attending Event wait staff will present Host with an estimate itemized invoice at the conclusion of the Event for your approval and signature. A final itimized Event invoice, per the terms of this Agreement, will follow via email the next business day. Any additional Food, Beverage or Event services provided as an accommodation to the Host, not contemplated in this Event Agreement, will be included in the final itemized Event invoice.</v>
      </c>
      <c r="C151" s="513"/>
      <c r="D151" s="513"/>
      <c r="E151" s="513"/>
      <c r="F151" s="513"/>
      <c r="G151" s="513"/>
      <c r="H151" s="513"/>
      <c r="I151" s="513"/>
      <c r="J151" s="513"/>
      <c r="K151" s="513"/>
      <c r="L151" s="513"/>
      <c r="M151" s="513"/>
      <c r="N151" s="513"/>
      <c r="O151" s="513"/>
      <c r="P151" s="513"/>
      <c r="Q151" s="513"/>
      <c r="R151" s="513"/>
      <c r="S151" s="513"/>
      <c r="T151" s="513"/>
      <c r="U151" s="513"/>
      <c r="V151" s="513"/>
      <c r="W151" s="513"/>
      <c r="X151" s="513"/>
      <c r="Y151" s="513"/>
      <c r="Z151" s="163"/>
      <c r="AA151" s="163"/>
      <c r="AC151"/>
      <c r="AD151"/>
      <c r="AE151"/>
      <c r="AF151"/>
      <c r="AG151"/>
      <c r="AH151"/>
      <c r="AI151"/>
      <c r="AJ151"/>
      <c r="AK151" s="161"/>
      <c r="AL151" s="161"/>
      <c r="AM151" s="161"/>
      <c r="AN151" s="161"/>
      <c r="AO151" s="161"/>
      <c r="AP151" s="161"/>
      <c r="AQ151" s="161"/>
      <c r="AR151" s="161"/>
      <c r="AS151" s="161"/>
      <c r="AT151" s="161"/>
      <c r="AU151" s="161"/>
      <c r="AV151" s="161"/>
      <c r="AW151" s="161"/>
      <c r="AX151" s="161"/>
      <c r="AY151" s="161"/>
      <c r="AZ151" s="161"/>
      <c r="BA151" s="161"/>
      <c r="BB151" s="161"/>
      <c r="BC151" s="161"/>
      <c r="BD151" s="161"/>
      <c r="BE151" s="161"/>
      <c r="BF151" s="161"/>
      <c r="BG151" s="161"/>
      <c r="BH151" s="161"/>
      <c r="BI151" s="161"/>
      <c r="BJ151" s="161"/>
      <c r="BK151" s="161"/>
      <c r="BL151" s="161"/>
      <c r="BM151" s="161"/>
      <c r="BN151" s="161"/>
      <c r="BO151" s="161"/>
      <c r="BP151" s="161"/>
      <c r="BQ151" s="161"/>
      <c r="BR151" s="161"/>
      <c r="BS151" s="161"/>
      <c r="BT151" s="161"/>
      <c r="BU151" s="161"/>
      <c r="BV151" s="161"/>
      <c r="BW151" s="161"/>
      <c r="BX151" s="161"/>
      <c r="BY151" s="161"/>
      <c r="BZ151" s="161"/>
      <c r="CA151" s="161"/>
      <c r="CB151" s="161"/>
      <c r="CC151" s="161"/>
      <c r="CD151" s="161"/>
      <c r="CE151" s="161"/>
      <c r="CF151" s="161"/>
      <c r="CG151" s="161"/>
      <c r="CH151" s="161"/>
      <c r="CI151" s="161"/>
      <c r="CJ151" s="161"/>
      <c r="CK151" s="161"/>
      <c r="CL151" s="161"/>
      <c r="CM151" s="161"/>
      <c r="CN151" s="161"/>
      <c r="CO151" s="161"/>
      <c r="CP151" s="161"/>
      <c r="CQ151" s="161"/>
      <c r="CR151" s="161"/>
      <c r="CS151" s="161"/>
      <c r="CT151" s="161"/>
      <c r="CU151" s="161"/>
      <c r="CV151" s="161"/>
      <c r="CW151" s="161"/>
      <c r="CX151" s="161"/>
      <c r="CY151" s="161"/>
      <c r="CZ151" s="161"/>
      <c r="DA151" s="161"/>
      <c r="DB151" s="161"/>
      <c r="DC151" s="161"/>
      <c r="DD151" s="161"/>
      <c r="DE151" s="161"/>
      <c r="DF151" s="161"/>
      <c r="DG151" s="161"/>
      <c r="DH151" s="161"/>
      <c r="DI151" s="161"/>
      <c r="DJ151" s="161"/>
      <c r="DK151" s="161"/>
      <c r="DL151" s="161"/>
      <c r="DM151" s="161"/>
      <c r="DN151" s="161"/>
      <c r="DO151" s="161"/>
      <c r="DP151" s="161"/>
      <c r="DQ151" s="161"/>
      <c r="DR151" s="161"/>
      <c r="DS151" s="161"/>
      <c r="DT151" s="161"/>
      <c r="DU151" s="161"/>
      <c r="DV151" s="161"/>
      <c r="DW151" s="161"/>
      <c r="DX151" s="161"/>
      <c r="DY151" s="161"/>
      <c r="DZ151" s="161"/>
      <c r="EA151" s="161"/>
      <c r="EB151" s="161"/>
      <c r="EC151" s="161"/>
      <c r="ED151" s="161"/>
      <c r="EE151" s="161"/>
      <c r="EF151" s="161"/>
      <c r="EG151" s="161"/>
      <c r="EH151" s="161"/>
      <c r="EI151" s="161"/>
      <c r="EJ151" s="161"/>
      <c r="EK151" s="161"/>
      <c r="EL151" s="161"/>
      <c r="EM151" s="161"/>
      <c r="EN151" s="161"/>
      <c r="EO151" s="161"/>
      <c r="EP151" s="161"/>
    </row>
    <row r="152" spans="1:146" s="162" customFormat="1" ht="14" hidden="1" customHeight="1">
      <c r="A152" s="161"/>
      <c r="B152" s="486" t="s">
        <v>333</v>
      </c>
      <c r="C152" s="486"/>
      <c r="D152" s="486"/>
      <c r="E152" s="486"/>
      <c r="F152" s="486"/>
      <c r="G152" s="486"/>
      <c r="H152" s="486"/>
      <c r="I152" s="486"/>
      <c r="J152" s="486"/>
      <c r="K152" s="486"/>
      <c r="L152" s="486"/>
      <c r="M152" s="486"/>
      <c r="N152" s="486"/>
      <c r="O152" s="486"/>
      <c r="P152" s="486"/>
      <c r="Q152" s="486"/>
      <c r="R152" s="486"/>
      <c r="S152" s="486"/>
      <c r="T152" s="486"/>
      <c r="U152" s="486"/>
      <c r="V152" s="486"/>
      <c r="W152" s="486"/>
      <c r="X152" s="486"/>
      <c r="Y152" s="486"/>
      <c r="Z152" s="163"/>
      <c r="AA152" s="163"/>
      <c r="AC152"/>
      <c r="AD152"/>
      <c r="AE152"/>
      <c r="AF152"/>
      <c r="AG152"/>
      <c r="AH152"/>
      <c r="AI152"/>
      <c r="AJ152"/>
      <c r="AK152" s="161"/>
      <c r="AL152" s="161"/>
      <c r="AM152" s="161"/>
      <c r="AN152" s="161"/>
      <c r="AO152" s="161"/>
      <c r="AP152" s="161"/>
      <c r="AQ152" s="161"/>
      <c r="AR152" s="161"/>
      <c r="AS152" s="161"/>
      <c r="AT152" s="161"/>
      <c r="AU152" s="161"/>
      <c r="AV152" s="161"/>
      <c r="AW152" s="161"/>
      <c r="AX152" s="161"/>
      <c r="AY152" s="161"/>
      <c r="AZ152" s="161"/>
      <c r="BA152" s="161"/>
      <c r="BB152" s="161"/>
      <c r="BC152" s="161"/>
      <c r="BD152" s="161"/>
      <c r="BE152" s="161"/>
      <c r="BF152" s="161"/>
      <c r="BG152" s="161"/>
      <c r="BH152" s="161"/>
      <c r="BI152" s="161"/>
      <c r="BJ152" s="161"/>
      <c r="BK152" s="161"/>
      <c r="BL152" s="161"/>
      <c r="BM152" s="161"/>
      <c r="BN152" s="161"/>
      <c r="BO152" s="161"/>
      <c r="BP152" s="161"/>
      <c r="BQ152" s="161"/>
      <c r="BR152" s="161"/>
      <c r="BS152" s="161"/>
      <c r="BT152" s="161"/>
      <c r="BU152" s="161"/>
      <c r="BV152" s="161"/>
      <c r="BW152" s="161"/>
      <c r="BX152" s="161"/>
      <c r="BY152" s="161"/>
      <c r="BZ152" s="161"/>
      <c r="CA152" s="161"/>
      <c r="CB152" s="161"/>
      <c r="CC152" s="161"/>
      <c r="CD152" s="161"/>
      <c r="CE152" s="161"/>
      <c r="CF152" s="161"/>
      <c r="CG152" s="161"/>
      <c r="CH152" s="161"/>
      <c r="CI152" s="161"/>
      <c r="CJ152" s="161"/>
      <c r="CK152" s="161"/>
      <c r="CL152" s="161"/>
      <c r="CM152" s="161"/>
      <c r="CN152" s="161"/>
      <c r="CO152" s="161"/>
      <c r="CP152" s="161"/>
      <c r="CQ152" s="161"/>
      <c r="CR152" s="161"/>
      <c r="CS152" s="161"/>
      <c r="CT152" s="161"/>
      <c r="CU152" s="161"/>
      <c r="CV152" s="161"/>
      <c r="CW152" s="161"/>
      <c r="CX152" s="161"/>
      <c r="CY152" s="161"/>
      <c r="CZ152" s="161"/>
      <c r="DA152" s="161"/>
      <c r="DB152" s="161"/>
      <c r="DC152" s="161"/>
      <c r="DD152" s="161"/>
      <c r="DE152" s="161"/>
      <c r="DF152" s="161"/>
      <c r="DG152" s="161"/>
      <c r="DH152" s="161"/>
      <c r="DI152" s="161"/>
      <c r="DJ152" s="161"/>
      <c r="DK152" s="161"/>
      <c r="DL152" s="161"/>
      <c r="DM152" s="161"/>
      <c r="DN152" s="161"/>
      <c r="DO152" s="161"/>
      <c r="DP152" s="161"/>
      <c r="DQ152" s="161"/>
      <c r="DR152" s="161"/>
      <c r="DS152" s="161"/>
      <c r="DT152" s="161"/>
      <c r="DU152" s="161"/>
      <c r="DV152" s="161"/>
      <c r="DW152" s="161"/>
      <c r="DX152" s="161"/>
      <c r="DY152" s="161"/>
      <c r="DZ152" s="161"/>
      <c r="EA152" s="161"/>
      <c r="EB152" s="161"/>
      <c r="EC152" s="161"/>
      <c r="ED152" s="161"/>
      <c r="EE152" s="161"/>
      <c r="EF152" s="161"/>
      <c r="EG152" s="161"/>
      <c r="EH152" s="161"/>
      <c r="EI152" s="161"/>
      <c r="EJ152" s="161"/>
      <c r="EK152" s="161"/>
      <c r="EL152" s="161"/>
      <c r="EM152" s="161"/>
      <c r="EN152" s="161"/>
      <c r="EO152" s="161"/>
      <c r="EP152" s="161"/>
    </row>
    <row r="153" spans="1:146" s="162" customFormat="1" ht="136" hidden="1" customHeight="1">
      <c r="A153" s="161"/>
      <c r="B153" s="530" t="str">
        <f>CONCATENATE("PAYMENT: Payment by credit card or approved check is due immediately upon the conclusion of the Event.", " Payments by check must be coordinated with and approved by your Event Manager at least five (5) business days prior to the Event.", " Skylight Gardens requests that all Event Hosts paying with a credit card present their physical card at the time of the Event. If your card is not available at the time of the Event, Host authorizes Skylight Gardens to charge"," any outstanding balance to the credit card authorized in the attached CC Authorization Form.", " Please note: Event payments in excess of $10,000 not paid by an approved check or wire transfer will incur a 3% credit card"," transaction fee. All returned Checks are subject to a $50 return fee.")</f>
        <v>PAYMENT: Payment by credit card or approved check is due immediately upon the conclusion of the Event. Payments by check must be coordinated with and approved by your Event Manager at least five (5) business days prior to the Event. Skylight Gardens requests that all Event Hosts paying with a credit card present their physical card at the time of the Event. If your card is not available at the time of the Event, Host authorizes Skylight Gardens to charge any outstanding balance to the credit card authorized in the attached CC Authorization Form. Please note: Event payments in excess of $10,000 not paid by an approved check or wire transfer will incur a 3% credit card transaction fee. All returned Checks are subject to a $50 return fee.</v>
      </c>
      <c r="C153" s="530"/>
      <c r="D153" s="530"/>
      <c r="E153" s="530"/>
      <c r="F153" s="530"/>
      <c r="G153" s="530"/>
      <c r="H153" s="530"/>
      <c r="I153" s="530"/>
      <c r="J153" s="530"/>
      <c r="K153" s="530"/>
      <c r="L153" s="530"/>
      <c r="M153" s="530"/>
      <c r="N153" s="530"/>
      <c r="O153" s="530"/>
      <c r="P153" s="530"/>
      <c r="Q153" s="530"/>
      <c r="R153" s="530"/>
      <c r="S153" s="530"/>
      <c r="T153" s="530"/>
      <c r="U153" s="530"/>
      <c r="V153" s="530"/>
      <c r="W153" s="530"/>
      <c r="X153" s="530"/>
      <c r="Y153" s="530"/>
      <c r="Z153" s="163"/>
      <c r="AA153" s="163"/>
      <c r="AC153"/>
      <c r="AD153"/>
      <c r="AE153"/>
      <c r="AF153"/>
      <c r="AG153"/>
      <c r="AH153"/>
      <c r="AI153"/>
      <c r="AJ153"/>
      <c r="AK153" s="161"/>
      <c r="AL153" s="161"/>
      <c r="AM153" s="161"/>
      <c r="AN153" s="161"/>
      <c r="AO153" s="161"/>
      <c r="AP153" s="161"/>
      <c r="AQ153" s="161"/>
      <c r="AR153" s="161"/>
      <c r="AS153" s="161"/>
      <c r="AT153" s="161"/>
      <c r="AU153" s="161"/>
      <c r="AV153" s="161"/>
      <c r="AW153" s="161"/>
      <c r="AX153" s="161"/>
      <c r="AY153" s="161"/>
      <c r="AZ153" s="161"/>
      <c r="BA153" s="161"/>
      <c r="BB153" s="161"/>
      <c r="BC153" s="161"/>
      <c r="BD153" s="161"/>
      <c r="BE153" s="161"/>
      <c r="BF153" s="161"/>
      <c r="BG153" s="161"/>
      <c r="BH153" s="161"/>
      <c r="BI153" s="161"/>
      <c r="BJ153" s="161"/>
      <c r="BK153" s="161"/>
      <c r="BL153" s="161"/>
      <c r="BM153" s="161"/>
      <c r="BN153" s="161"/>
      <c r="BO153" s="161"/>
      <c r="BP153" s="161"/>
      <c r="BQ153" s="161"/>
      <c r="BR153" s="161"/>
      <c r="BS153" s="161"/>
      <c r="BT153" s="161"/>
      <c r="BU153" s="161"/>
      <c r="BV153" s="161"/>
      <c r="BW153" s="161"/>
      <c r="BX153" s="161"/>
      <c r="BY153" s="161"/>
      <c r="BZ153" s="161"/>
      <c r="CA153" s="161"/>
      <c r="CB153" s="161"/>
      <c r="CC153" s="161"/>
      <c r="CD153" s="161"/>
      <c r="CE153" s="161"/>
      <c r="CF153" s="161"/>
      <c r="CG153" s="161"/>
      <c r="CH153" s="161"/>
      <c r="CI153" s="161"/>
      <c r="CJ153" s="161"/>
      <c r="CK153" s="161"/>
      <c r="CL153" s="161"/>
      <c r="CM153" s="161"/>
      <c r="CN153" s="161"/>
      <c r="CO153" s="161"/>
      <c r="CP153" s="161"/>
      <c r="CQ153" s="161"/>
      <c r="CR153" s="161"/>
      <c r="CS153" s="161"/>
      <c r="CT153" s="161"/>
      <c r="CU153" s="161"/>
      <c r="CV153" s="161"/>
      <c r="CW153" s="161"/>
      <c r="CX153" s="161"/>
      <c r="CY153" s="161"/>
      <c r="CZ153" s="161"/>
      <c r="DA153" s="161"/>
      <c r="DB153" s="161"/>
      <c r="DC153" s="161"/>
      <c r="DD153" s="161"/>
      <c r="DE153" s="161"/>
      <c r="DF153" s="161"/>
      <c r="DG153" s="161"/>
      <c r="DH153" s="161"/>
      <c r="DI153" s="161"/>
      <c r="DJ153" s="161"/>
      <c r="DK153" s="161"/>
      <c r="DL153" s="161"/>
      <c r="DM153" s="161"/>
      <c r="DN153" s="161"/>
      <c r="DO153" s="161"/>
      <c r="DP153" s="161"/>
      <c r="DQ153" s="161"/>
      <c r="DR153" s="161"/>
      <c r="DS153" s="161"/>
      <c r="DT153" s="161"/>
      <c r="DU153" s="161"/>
      <c r="DV153" s="161"/>
      <c r="DW153" s="161"/>
      <c r="DX153" s="161"/>
      <c r="DY153" s="161"/>
      <c r="DZ153" s="161"/>
      <c r="EA153" s="161"/>
      <c r="EB153" s="161"/>
      <c r="EC153" s="161"/>
      <c r="ED153" s="161"/>
      <c r="EE153" s="161"/>
      <c r="EF153" s="161"/>
      <c r="EG153" s="161"/>
      <c r="EH153" s="161"/>
      <c r="EI153" s="161"/>
      <c r="EJ153" s="161"/>
      <c r="EK153" s="161"/>
      <c r="EL153" s="161"/>
      <c r="EM153" s="161"/>
      <c r="EN153" s="161"/>
      <c r="EO153" s="161"/>
      <c r="EP153" s="161"/>
    </row>
    <row r="154" spans="1:146" s="162" customFormat="1" ht="14" hidden="1" customHeight="1">
      <c r="A154" s="161"/>
      <c r="B154" s="513" t="str">
        <f>CONCATENATE("PARKING: Valet parking will be prepaid by Event Host for $4 per vehicle for Events lasting less than 2-hours or $6 per vehicle for Events lasting over 2-hours,"&amp;" plus a $1 convience fee per vehicle and $1 gratuity per vehicle paid to your parking attendant."," (Fees Not Negotiable &amp; Subject to Change)")</f>
        <v>PARKING: Valet parking will be prepaid by Event Host for $4 per vehicle for Events lasting less than 2-hours or $6 per vehicle for Events lasting over 2-hours, plus a $1 convience fee per vehicle and $1 gratuity per vehicle paid to your parking attendant. (Fees Not Negotiable &amp; Subject to Change)</v>
      </c>
      <c r="C154" s="513"/>
      <c r="D154" s="513"/>
      <c r="E154" s="513"/>
      <c r="F154" s="513"/>
      <c r="G154" s="513"/>
      <c r="H154" s="513"/>
      <c r="I154" s="513"/>
      <c r="J154" s="513"/>
      <c r="K154" s="513"/>
      <c r="L154" s="513"/>
      <c r="M154" s="513"/>
      <c r="N154" s="513"/>
      <c r="O154" s="513"/>
      <c r="P154" s="513"/>
      <c r="Q154" s="513"/>
      <c r="R154" s="513"/>
      <c r="S154" s="513"/>
      <c r="T154" s="513"/>
      <c r="U154" s="513"/>
      <c r="V154" s="513"/>
      <c r="W154" s="513"/>
      <c r="X154" s="513"/>
      <c r="Y154" s="513"/>
      <c r="Z154" s="163"/>
      <c r="AA154" s="163"/>
      <c r="AC154"/>
      <c r="AD154"/>
      <c r="AE154"/>
      <c r="AF154"/>
      <c r="AG154"/>
      <c r="AH154"/>
      <c r="AI154"/>
      <c r="AJ154"/>
      <c r="AK154" s="161"/>
      <c r="AL154" s="161"/>
      <c r="AM154" s="161"/>
      <c r="AN154" s="161"/>
      <c r="AO154" s="161"/>
      <c r="AP154" s="161"/>
      <c r="AQ154" s="161"/>
      <c r="AR154" s="161"/>
      <c r="AS154" s="161"/>
      <c r="AT154" s="161"/>
      <c r="AU154" s="161"/>
      <c r="AV154" s="161"/>
      <c r="AW154" s="161"/>
      <c r="AX154" s="161"/>
      <c r="AY154" s="161"/>
      <c r="AZ154" s="161"/>
      <c r="BA154" s="161"/>
      <c r="BB154" s="161"/>
      <c r="BC154" s="161"/>
      <c r="BD154" s="161"/>
      <c r="BE154" s="161"/>
      <c r="BF154" s="161"/>
      <c r="BG154" s="161"/>
      <c r="BH154" s="161"/>
      <c r="BI154" s="161"/>
      <c r="BJ154" s="161"/>
      <c r="BK154" s="161"/>
      <c r="BL154" s="161"/>
      <c r="BM154" s="161"/>
      <c r="BN154" s="161"/>
      <c r="BO154" s="161"/>
      <c r="BP154" s="161"/>
      <c r="BQ154" s="161"/>
      <c r="BR154" s="161"/>
      <c r="BS154" s="161"/>
      <c r="BT154" s="161"/>
      <c r="BU154" s="161"/>
      <c r="BV154" s="161"/>
      <c r="BW154" s="161"/>
      <c r="BX154" s="161"/>
      <c r="BY154" s="161"/>
      <c r="BZ154" s="161"/>
      <c r="CA154" s="161"/>
      <c r="CB154" s="161"/>
      <c r="CC154" s="161"/>
      <c r="CD154" s="161"/>
      <c r="CE154" s="161"/>
      <c r="CF154" s="161"/>
      <c r="CG154" s="161"/>
      <c r="CH154" s="161"/>
      <c r="CI154" s="161"/>
      <c r="CJ154" s="161"/>
      <c r="CK154" s="161"/>
      <c r="CL154" s="161"/>
      <c r="CM154" s="161"/>
      <c r="CN154" s="161"/>
      <c r="CO154" s="161"/>
      <c r="CP154" s="161"/>
      <c r="CQ154" s="161"/>
      <c r="CR154" s="161"/>
      <c r="CS154" s="161"/>
      <c r="CT154" s="161"/>
      <c r="CU154" s="161"/>
      <c r="CV154" s="161"/>
      <c r="CW154" s="161"/>
      <c r="CX154" s="161"/>
      <c r="CY154" s="161"/>
      <c r="CZ154" s="161"/>
      <c r="DA154" s="161"/>
      <c r="DB154" s="161"/>
      <c r="DC154" s="161"/>
      <c r="DD154" s="161"/>
      <c r="DE154" s="161"/>
      <c r="DF154" s="161"/>
      <c r="DG154" s="161"/>
      <c r="DH154" s="161"/>
      <c r="DI154" s="161"/>
      <c r="DJ154" s="161"/>
      <c r="DK154" s="161"/>
      <c r="DL154" s="161"/>
      <c r="DM154" s="161"/>
      <c r="DN154" s="161"/>
      <c r="DO154" s="161"/>
      <c r="DP154" s="161"/>
      <c r="DQ154" s="161"/>
      <c r="DR154" s="161"/>
      <c r="DS154" s="161"/>
      <c r="DT154" s="161"/>
      <c r="DU154" s="161"/>
      <c r="DV154" s="161"/>
      <c r="DW154" s="161"/>
      <c r="DX154" s="161"/>
      <c r="DY154" s="161"/>
      <c r="DZ154" s="161"/>
      <c r="EA154" s="161"/>
      <c r="EB154" s="161"/>
      <c r="EC154" s="161"/>
      <c r="ED154" s="161"/>
      <c r="EE154" s="161"/>
      <c r="EF154" s="161"/>
      <c r="EG154" s="161"/>
      <c r="EH154" s="161"/>
      <c r="EI154" s="161"/>
      <c r="EJ154" s="161"/>
      <c r="EK154" s="161"/>
      <c r="EL154" s="161"/>
      <c r="EM154" s="161"/>
      <c r="EN154" s="161"/>
      <c r="EO154" s="161"/>
      <c r="EP154" s="161"/>
    </row>
    <row r="155" spans="1:146" s="162" customFormat="1" ht="14" hidden="1" customHeight="1">
      <c r="A155" s="161"/>
      <c r="B155" s="486" t="str">
        <f>"GUEST GUARENTEE: Your Guest Guarentee of "&amp;R29</f>
        <v>GUEST GUARENTEE: Your Guest Guarentee of 18</v>
      </c>
      <c r="C155" s="486"/>
      <c r="D155" s="486"/>
      <c r="E155" s="486"/>
      <c r="F155" s="486"/>
      <c r="G155" s="486"/>
      <c r="H155" s="486"/>
      <c r="I155" s="486"/>
      <c r="J155" s="486"/>
      <c r="K155" s="486"/>
      <c r="L155" s="486"/>
      <c r="M155" s="486"/>
      <c r="N155" s="486"/>
      <c r="O155" s="486"/>
      <c r="P155" s="486"/>
      <c r="Q155" s="486"/>
      <c r="R155" s="486"/>
      <c r="S155" s="486"/>
      <c r="T155" s="486"/>
      <c r="U155" s="486"/>
      <c r="V155" s="486"/>
      <c r="W155" s="486"/>
      <c r="X155" s="486"/>
      <c r="Y155" s="486"/>
      <c r="Z155" s="486"/>
      <c r="AA155" s="486"/>
      <c r="AC155"/>
      <c r="AD155"/>
      <c r="AE155"/>
      <c r="AF155"/>
      <c r="AG155"/>
      <c r="AH155"/>
      <c r="AI155"/>
      <c r="AJ155"/>
      <c r="AK155" s="161"/>
      <c r="AL155" s="161"/>
      <c r="AM155" s="161"/>
      <c r="AN155" s="161"/>
      <c r="AO155" s="161"/>
      <c r="AP155" s="161"/>
      <c r="AQ155" s="161"/>
      <c r="AR155" s="161"/>
      <c r="AS155" s="161"/>
      <c r="AT155" s="161"/>
      <c r="AU155" s="161"/>
      <c r="AV155" s="161"/>
      <c r="AW155" s="161"/>
      <c r="AX155" s="161"/>
      <c r="AY155" s="161"/>
      <c r="AZ155" s="161"/>
      <c r="BA155" s="161"/>
      <c r="BB155" s="161"/>
      <c r="BC155" s="161"/>
      <c r="BD155" s="161"/>
      <c r="BE155" s="161"/>
      <c r="BF155" s="161"/>
      <c r="BG155" s="161"/>
      <c r="BH155" s="161"/>
      <c r="BI155" s="161"/>
      <c r="BJ155" s="161"/>
      <c r="BK155" s="161"/>
      <c r="BL155" s="161"/>
      <c r="BM155" s="161"/>
      <c r="BN155" s="161"/>
      <c r="BO155" s="161"/>
      <c r="BP155" s="161"/>
      <c r="BQ155" s="161"/>
      <c r="BR155" s="161"/>
      <c r="BS155" s="161"/>
      <c r="BT155" s="161"/>
      <c r="BU155" s="161"/>
      <c r="BV155" s="161"/>
      <c r="BW155" s="161"/>
      <c r="BX155" s="161"/>
      <c r="BY155" s="161"/>
      <c r="BZ155" s="161"/>
      <c r="CA155" s="161"/>
      <c r="CB155" s="161"/>
      <c r="CC155" s="161"/>
      <c r="CD155" s="161"/>
      <c r="CE155" s="161"/>
      <c r="CF155" s="161"/>
      <c r="CG155" s="161"/>
      <c r="CH155" s="161"/>
      <c r="CI155" s="161"/>
      <c r="CJ155" s="161"/>
      <c r="CK155" s="161"/>
      <c r="CL155" s="161"/>
      <c r="CM155" s="161"/>
      <c r="CN155" s="161"/>
      <c r="CO155" s="161"/>
      <c r="CP155" s="161"/>
      <c r="CQ155" s="161"/>
      <c r="CR155" s="161"/>
      <c r="CS155" s="161"/>
      <c r="CT155" s="161"/>
      <c r="CU155" s="161"/>
      <c r="CV155" s="161"/>
      <c r="CW155" s="161"/>
      <c r="CX155" s="161"/>
      <c r="CY155" s="161"/>
      <c r="CZ155" s="161"/>
      <c r="DA155" s="161"/>
      <c r="DB155" s="161"/>
      <c r="DC155" s="161"/>
      <c r="DD155" s="161"/>
      <c r="DE155" s="161"/>
      <c r="DF155" s="161"/>
      <c r="DG155" s="161"/>
      <c r="DH155" s="161"/>
      <c r="DI155" s="161"/>
      <c r="DJ155" s="161"/>
      <c r="DK155" s="161"/>
      <c r="DL155" s="161"/>
      <c r="DM155" s="161"/>
      <c r="DN155" s="161"/>
      <c r="DO155" s="161"/>
      <c r="DP155" s="161"/>
      <c r="DQ155" s="161"/>
      <c r="DR155" s="161"/>
      <c r="DS155" s="161"/>
      <c r="DT155" s="161"/>
      <c r="DU155" s="161"/>
      <c r="DV155" s="161"/>
      <c r="DW155" s="161"/>
      <c r="DX155" s="161"/>
      <c r="DY155" s="161"/>
      <c r="DZ155" s="161"/>
      <c r="EA155" s="161"/>
      <c r="EB155" s="161"/>
      <c r="EC155" s="161"/>
      <c r="ED155" s="161"/>
      <c r="EE155" s="161"/>
      <c r="EF155" s="161"/>
      <c r="EG155" s="161"/>
      <c r="EH155" s="161"/>
      <c r="EI155" s="161"/>
      <c r="EJ155" s="161"/>
      <c r="EK155" s="161"/>
      <c r="EL155" s="161"/>
      <c r="EM155" s="161"/>
      <c r="EN155" s="161"/>
      <c r="EO155" s="161"/>
      <c r="EP155" s="161"/>
    </row>
    <row r="156" spans="1:146" s="162" customFormat="1" ht="139" hidden="1" customHeight="1">
      <c r="A156" s="161"/>
      <c r="B156" s="513" t="s">
        <v>331</v>
      </c>
      <c r="C156" s="513"/>
      <c r="D156" s="513"/>
      <c r="E156" s="513"/>
      <c r="F156" s="513"/>
      <c r="G156" s="513"/>
      <c r="H156" s="513"/>
      <c r="I156" s="513"/>
      <c r="J156" s="513"/>
      <c r="K156" s="513"/>
      <c r="L156" s="513"/>
      <c r="M156" s="513"/>
      <c r="N156" s="513"/>
      <c r="O156" s="513"/>
      <c r="P156" s="513"/>
      <c r="Q156" s="513"/>
      <c r="R156" s="513"/>
      <c r="S156" s="513"/>
      <c r="T156" s="513"/>
      <c r="U156" s="513"/>
      <c r="V156" s="513"/>
      <c r="W156" s="513"/>
      <c r="X156" s="513"/>
      <c r="Y156" s="513"/>
      <c r="Z156" s="513"/>
      <c r="AA156" s="513"/>
      <c r="AC156"/>
      <c r="AD156"/>
      <c r="AE156"/>
      <c r="AF156"/>
      <c r="AG156"/>
      <c r="AH156"/>
      <c r="AI156"/>
      <c r="AJ156"/>
      <c r="AK156" s="161"/>
      <c r="AL156" s="161"/>
      <c r="AM156" s="161"/>
      <c r="AN156" s="161"/>
      <c r="AO156" s="161"/>
      <c r="AP156" s="161"/>
      <c r="AQ156" s="161"/>
      <c r="AR156" s="161"/>
      <c r="AS156" s="161"/>
      <c r="AT156" s="161"/>
      <c r="AU156" s="161"/>
      <c r="AV156" s="161"/>
      <c r="AW156" s="161"/>
      <c r="AX156" s="161"/>
      <c r="AY156" s="161"/>
      <c r="AZ156" s="161"/>
      <c r="BA156" s="161"/>
      <c r="BB156" s="161"/>
      <c r="BC156" s="161"/>
      <c r="BD156" s="161"/>
      <c r="BE156" s="161"/>
      <c r="BF156" s="161"/>
      <c r="BG156" s="161"/>
      <c r="BH156" s="161"/>
      <c r="BI156" s="161"/>
      <c r="BJ156" s="161"/>
      <c r="BK156" s="161"/>
      <c r="BL156" s="161"/>
      <c r="BM156" s="161"/>
      <c r="BN156" s="161"/>
      <c r="BO156" s="161"/>
      <c r="BP156" s="161"/>
      <c r="BQ156" s="161"/>
      <c r="BR156" s="161"/>
      <c r="BS156" s="161"/>
      <c r="BT156" s="161"/>
      <c r="BU156" s="161"/>
      <c r="BV156" s="161"/>
      <c r="BW156" s="161"/>
      <c r="BX156" s="161"/>
      <c r="BY156" s="161"/>
      <c r="BZ156" s="161"/>
      <c r="CA156" s="161"/>
      <c r="CB156" s="161"/>
      <c r="CC156" s="161"/>
      <c r="CD156" s="161"/>
      <c r="CE156" s="161"/>
      <c r="CF156" s="161"/>
      <c r="CG156" s="161"/>
      <c r="CH156" s="161"/>
      <c r="CI156" s="161"/>
      <c r="CJ156" s="161"/>
      <c r="CK156" s="161"/>
      <c r="CL156" s="161"/>
      <c r="CM156" s="161"/>
      <c r="CN156" s="161"/>
      <c r="CO156" s="161"/>
      <c r="CP156" s="161"/>
      <c r="CQ156" s="161"/>
      <c r="CR156" s="161"/>
      <c r="CS156" s="161"/>
      <c r="CT156" s="161"/>
      <c r="CU156" s="161"/>
      <c r="CV156" s="161"/>
      <c r="CW156" s="161"/>
      <c r="CX156" s="161"/>
      <c r="CY156" s="161"/>
      <c r="CZ156" s="161"/>
      <c r="DA156" s="161"/>
      <c r="DB156" s="161"/>
      <c r="DC156" s="161"/>
      <c r="DD156" s="161"/>
      <c r="DE156" s="161"/>
      <c r="DF156" s="161"/>
      <c r="DG156" s="161"/>
      <c r="DH156" s="161"/>
      <c r="DI156" s="161"/>
      <c r="DJ156" s="161"/>
      <c r="DK156" s="161"/>
      <c r="DL156" s="161"/>
      <c r="DM156" s="161"/>
      <c r="DN156" s="161"/>
      <c r="DO156" s="161"/>
      <c r="DP156" s="161"/>
      <c r="DQ156" s="161"/>
      <c r="DR156" s="161"/>
      <c r="DS156" s="161"/>
      <c r="DT156" s="161"/>
      <c r="DU156" s="161"/>
      <c r="DV156" s="161"/>
      <c r="DW156" s="161"/>
      <c r="DX156" s="161"/>
      <c r="DY156" s="161"/>
      <c r="DZ156" s="161"/>
      <c r="EA156" s="161"/>
      <c r="EB156" s="161"/>
      <c r="EC156" s="161"/>
      <c r="ED156" s="161"/>
      <c r="EE156" s="161"/>
      <c r="EF156" s="161"/>
      <c r="EG156" s="161"/>
      <c r="EH156" s="161"/>
      <c r="EI156" s="161"/>
      <c r="EJ156" s="161"/>
      <c r="EK156" s="161"/>
      <c r="EL156" s="161"/>
      <c r="EM156" s="161"/>
      <c r="EN156" s="161"/>
      <c r="EO156" s="161"/>
      <c r="EP156" s="161"/>
    </row>
    <row r="157" spans="1:146" s="162" customFormat="1" ht="14" hidden="1" customHeight="1">
      <c r="A157" s="161"/>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c r="AA157" s="163"/>
      <c r="AC157"/>
      <c r="AD157"/>
      <c r="AE157"/>
      <c r="AF157"/>
      <c r="AG157"/>
      <c r="AH157"/>
      <c r="AI157"/>
      <c r="AJ157"/>
      <c r="AK157" s="161"/>
      <c r="AL157" s="161"/>
      <c r="AM157" s="161"/>
      <c r="AN157" s="161"/>
      <c r="AO157" s="161"/>
      <c r="AP157" s="161"/>
      <c r="AQ157" s="161"/>
      <c r="AR157" s="161"/>
      <c r="AS157" s="161"/>
      <c r="AT157" s="161"/>
      <c r="AU157" s="161"/>
      <c r="AV157" s="161"/>
      <c r="AW157" s="161"/>
      <c r="AX157" s="161"/>
      <c r="AY157" s="161"/>
      <c r="AZ157" s="161"/>
      <c r="BA157" s="161"/>
      <c r="BB157" s="161"/>
      <c r="BC157" s="161"/>
      <c r="BD157" s="161"/>
      <c r="BE157" s="161"/>
      <c r="BF157" s="161"/>
      <c r="BG157" s="161"/>
      <c r="BH157" s="161"/>
      <c r="BI157" s="161"/>
      <c r="BJ157" s="161"/>
      <c r="BK157" s="161"/>
      <c r="BL157" s="161"/>
      <c r="BM157" s="161"/>
      <c r="BN157" s="161"/>
      <c r="BO157" s="161"/>
      <c r="BP157" s="161"/>
      <c r="BQ157" s="161"/>
      <c r="BR157" s="161"/>
      <c r="BS157" s="161"/>
      <c r="BT157" s="161"/>
      <c r="BU157" s="161"/>
      <c r="BV157" s="161"/>
      <c r="BW157" s="161"/>
      <c r="BX157" s="161"/>
      <c r="BY157" s="161"/>
      <c r="BZ157" s="161"/>
      <c r="CA157" s="161"/>
      <c r="CB157" s="161"/>
      <c r="CC157" s="161"/>
      <c r="CD157" s="161"/>
      <c r="CE157" s="161"/>
      <c r="CF157" s="161"/>
      <c r="CG157" s="161"/>
      <c r="CH157" s="161"/>
      <c r="CI157" s="161"/>
      <c r="CJ157" s="161"/>
      <c r="CK157" s="161"/>
      <c r="CL157" s="161"/>
      <c r="CM157" s="161"/>
      <c r="CN157" s="161"/>
      <c r="CO157" s="161"/>
      <c r="CP157" s="161"/>
      <c r="CQ157" s="161"/>
      <c r="CR157" s="161"/>
      <c r="CS157" s="161"/>
      <c r="CT157" s="161"/>
      <c r="CU157" s="161"/>
      <c r="CV157" s="161"/>
      <c r="CW157" s="161"/>
      <c r="CX157" s="161"/>
      <c r="CY157" s="161"/>
      <c r="CZ157" s="161"/>
      <c r="DA157" s="161"/>
      <c r="DB157" s="161"/>
      <c r="DC157" s="161"/>
      <c r="DD157" s="161"/>
      <c r="DE157" s="161"/>
      <c r="DF157" s="161"/>
      <c r="DG157" s="161"/>
      <c r="DH157" s="161"/>
      <c r="DI157" s="161"/>
      <c r="DJ157" s="161"/>
      <c r="DK157" s="161"/>
      <c r="DL157" s="161"/>
      <c r="DM157" s="161"/>
      <c r="DN157" s="161"/>
      <c r="DO157" s="161"/>
      <c r="DP157" s="161"/>
      <c r="DQ157" s="161"/>
      <c r="DR157" s="161"/>
      <c r="DS157" s="161"/>
      <c r="DT157" s="161"/>
      <c r="DU157" s="161"/>
      <c r="DV157" s="161"/>
      <c r="DW157" s="161"/>
      <c r="DX157" s="161"/>
      <c r="DY157" s="161"/>
      <c r="DZ157" s="161"/>
      <c r="EA157" s="161"/>
      <c r="EB157" s="161"/>
      <c r="EC157" s="161"/>
      <c r="ED157" s="161"/>
      <c r="EE157" s="161"/>
      <c r="EF157" s="161"/>
      <c r="EG157" s="161"/>
      <c r="EH157" s="161"/>
      <c r="EI157" s="161"/>
      <c r="EJ157" s="161"/>
      <c r="EK157" s="161"/>
      <c r="EL157" s="161"/>
      <c r="EM157" s="161"/>
      <c r="EN157" s="161"/>
      <c r="EO157" s="161"/>
      <c r="EP157" s="161"/>
    </row>
    <row r="158" spans="1:146" s="162" customFormat="1" ht="114" hidden="1" customHeight="1">
      <c r="A158" s="161"/>
      <c r="B158" s="513" t="s">
        <v>332</v>
      </c>
      <c r="C158" s="513"/>
      <c r="D158" s="513"/>
      <c r="E158" s="513"/>
      <c r="F158" s="513"/>
      <c r="G158" s="513"/>
      <c r="H158" s="513"/>
      <c r="I158" s="513"/>
      <c r="J158" s="513"/>
      <c r="K158" s="513"/>
      <c r="L158" s="513"/>
      <c r="M158" s="513"/>
      <c r="N158" s="513"/>
      <c r="O158" s="513"/>
      <c r="P158" s="513"/>
      <c r="Q158" s="513"/>
      <c r="R158" s="513"/>
      <c r="S158" s="513"/>
      <c r="T158" s="513"/>
      <c r="U158" s="513"/>
      <c r="V158" s="513"/>
      <c r="W158" s="513"/>
      <c r="X158" s="513"/>
      <c r="Y158" s="513"/>
      <c r="Z158" s="513"/>
      <c r="AA158" s="513"/>
      <c r="AC158"/>
      <c r="AD158"/>
      <c r="AE158"/>
      <c r="AF158"/>
      <c r="AG158"/>
      <c r="AH158"/>
      <c r="AI158"/>
      <c r="AJ158"/>
      <c r="AK158" s="161"/>
      <c r="AL158" s="161"/>
      <c r="AM158" s="161"/>
      <c r="AN158" s="161"/>
      <c r="AO158" s="161"/>
      <c r="AP158" s="161"/>
      <c r="AQ158" s="161"/>
      <c r="AR158" s="161"/>
      <c r="AS158" s="161"/>
      <c r="AT158" s="161"/>
      <c r="AU158" s="161"/>
      <c r="AV158" s="161"/>
      <c r="AW158" s="161"/>
      <c r="AX158" s="161"/>
      <c r="AY158" s="161"/>
      <c r="AZ158" s="161"/>
      <c r="BA158" s="161"/>
      <c r="BB158" s="161"/>
      <c r="BC158" s="161"/>
      <c r="BD158" s="161"/>
      <c r="BE158" s="161"/>
      <c r="BF158" s="161"/>
      <c r="BG158" s="161"/>
      <c r="BH158" s="161"/>
      <c r="BI158" s="161"/>
      <c r="BJ158" s="161"/>
      <c r="BK158" s="161"/>
      <c r="BL158" s="161"/>
      <c r="BM158" s="161"/>
      <c r="BN158" s="161"/>
      <c r="BO158" s="161"/>
      <c r="BP158" s="161"/>
      <c r="BQ158" s="161"/>
      <c r="BR158" s="161"/>
      <c r="BS158" s="161"/>
      <c r="BT158" s="161"/>
      <c r="BU158" s="161"/>
      <c r="BV158" s="161"/>
      <c r="BW158" s="161"/>
      <c r="BX158" s="161"/>
      <c r="BY158" s="161"/>
      <c r="BZ158" s="161"/>
      <c r="CA158" s="161"/>
      <c r="CB158" s="161"/>
      <c r="CC158" s="161"/>
      <c r="CD158" s="161"/>
      <c r="CE158" s="161"/>
      <c r="CF158" s="161"/>
      <c r="CG158" s="161"/>
      <c r="CH158" s="161"/>
      <c r="CI158" s="161"/>
      <c r="CJ158" s="161"/>
      <c r="CK158" s="161"/>
      <c r="CL158" s="161"/>
      <c r="CM158" s="161"/>
      <c r="CN158" s="161"/>
      <c r="CO158" s="161"/>
      <c r="CP158" s="161"/>
      <c r="CQ158" s="161"/>
      <c r="CR158" s="161"/>
      <c r="CS158" s="161"/>
      <c r="CT158" s="161"/>
      <c r="CU158" s="161"/>
      <c r="CV158" s="161"/>
      <c r="CW158" s="161"/>
      <c r="CX158" s="161"/>
      <c r="CY158" s="161"/>
      <c r="CZ158" s="161"/>
      <c r="DA158" s="161"/>
      <c r="DB158" s="161"/>
      <c r="DC158" s="161"/>
      <c r="DD158" s="161"/>
      <c r="DE158" s="161"/>
      <c r="DF158" s="161"/>
      <c r="DG158" s="161"/>
      <c r="DH158" s="161"/>
      <c r="DI158" s="161"/>
      <c r="DJ158" s="161"/>
      <c r="DK158" s="161"/>
      <c r="DL158" s="161"/>
      <c r="DM158" s="161"/>
      <c r="DN158" s="161"/>
      <c r="DO158" s="161"/>
      <c r="DP158" s="161"/>
      <c r="DQ158" s="161"/>
      <c r="DR158" s="161"/>
      <c r="DS158" s="161"/>
      <c r="DT158" s="161"/>
      <c r="DU158" s="161"/>
      <c r="DV158" s="161"/>
      <c r="DW158" s="161"/>
      <c r="DX158" s="161"/>
      <c r="DY158" s="161"/>
      <c r="DZ158" s="161"/>
      <c r="EA158" s="161"/>
      <c r="EB158" s="161"/>
      <c r="EC158" s="161"/>
      <c r="ED158" s="161"/>
      <c r="EE158" s="161"/>
      <c r="EF158" s="161"/>
      <c r="EG158" s="161"/>
      <c r="EH158" s="161"/>
      <c r="EI158" s="161"/>
      <c r="EJ158" s="161"/>
      <c r="EK158" s="161"/>
      <c r="EL158" s="161"/>
      <c r="EM158" s="161"/>
      <c r="EN158" s="161"/>
      <c r="EO158" s="161"/>
      <c r="EP158" s="161"/>
    </row>
    <row r="159" spans="1:146" s="162" customFormat="1" ht="14" hidden="1" customHeight="1">
      <c r="A159" s="161"/>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c r="AA159" s="163"/>
      <c r="AC159"/>
      <c r="AD159"/>
      <c r="AE159"/>
      <c r="AF159"/>
      <c r="AG159"/>
      <c r="AH159"/>
      <c r="AI159"/>
      <c r="AJ159"/>
      <c r="AK159" s="161"/>
      <c r="AL159" s="161"/>
      <c r="AM159" s="161"/>
      <c r="AN159" s="161"/>
      <c r="AO159" s="161"/>
      <c r="AP159" s="161"/>
      <c r="AQ159" s="161"/>
      <c r="AR159" s="161"/>
      <c r="AS159" s="161"/>
      <c r="AT159" s="161"/>
      <c r="AU159" s="161"/>
      <c r="AV159" s="161"/>
      <c r="AW159" s="161"/>
      <c r="AX159" s="161"/>
      <c r="AY159" s="161"/>
      <c r="AZ159" s="161"/>
      <c r="BA159" s="161"/>
      <c r="BB159" s="161"/>
      <c r="BC159" s="161"/>
      <c r="BD159" s="161"/>
      <c r="BE159" s="161"/>
      <c r="BF159" s="161"/>
      <c r="BG159" s="161"/>
      <c r="BH159" s="161"/>
      <c r="BI159" s="161"/>
      <c r="BJ159" s="161"/>
      <c r="BK159" s="161"/>
      <c r="BL159" s="161"/>
      <c r="BM159" s="161"/>
      <c r="BN159" s="161"/>
      <c r="BO159" s="161"/>
      <c r="BP159" s="161"/>
      <c r="BQ159" s="161"/>
      <c r="BR159" s="161"/>
      <c r="BS159" s="161"/>
      <c r="BT159" s="161"/>
      <c r="BU159" s="161"/>
      <c r="BV159" s="161"/>
      <c r="BW159" s="161"/>
      <c r="BX159" s="161"/>
      <c r="BY159" s="161"/>
      <c r="BZ159" s="161"/>
      <c r="CA159" s="161"/>
      <c r="CB159" s="161"/>
      <c r="CC159" s="161"/>
      <c r="CD159" s="161"/>
      <c r="CE159" s="161"/>
      <c r="CF159" s="161"/>
      <c r="CG159" s="161"/>
      <c r="CH159" s="161"/>
      <c r="CI159" s="161"/>
      <c r="CJ159" s="161"/>
      <c r="CK159" s="161"/>
      <c r="CL159" s="161"/>
      <c r="CM159" s="161"/>
      <c r="CN159" s="161"/>
      <c r="CO159" s="161"/>
      <c r="CP159" s="161"/>
      <c r="CQ159" s="161"/>
      <c r="CR159" s="161"/>
      <c r="CS159" s="161"/>
      <c r="CT159" s="161"/>
      <c r="CU159" s="161"/>
      <c r="CV159" s="161"/>
      <c r="CW159" s="161"/>
      <c r="CX159" s="161"/>
      <c r="CY159" s="161"/>
      <c r="CZ159" s="161"/>
      <c r="DA159" s="161"/>
      <c r="DB159" s="161"/>
      <c r="DC159" s="161"/>
      <c r="DD159" s="161"/>
      <c r="DE159" s="161"/>
      <c r="DF159" s="161"/>
      <c r="DG159" s="161"/>
      <c r="DH159" s="161"/>
      <c r="DI159" s="161"/>
      <c r="DJ159" s="161"/>
      <c r="DK159" s="161"/>
      <c r="DL159" s="161"/>
      <c r="DM159" s="161"/>
      <c r="DN159" s="161"/>
      <c r="DO159" s="161"/>
      <c r="DP159" s="161"/>
      <c r="DQ159" s="161"/>
      <c r="DR159" s="161"/>
      <c r="DS159" s="161"/>
      <c r="DT159" s="161"/>
      <c r="DU159" s="161"/>
      <c r="DV159" s="161"/>
      <c r="DW159" s="161"/>
      <c r="DX159" s="161"/>
      <c r="DY159" s="161"/>
      <c r="DZ159" s="161"/>
      <c r="EA159" s="161"/>
      <c r="EB159" s="161"/>
      <c r="EC159" s="161"/>
      <c r="ED159" s="161"/>
      <c r="EE159" s="161"/>
      <c r="EF159" s="161"/>
      <c r="EG159" s="161"/>
      <c r="EH159" s="161"/>
      <c r="EI159" s="161"/>
      <c r="EJ159" s="161"/>
      <c r="EK159" s="161"/>
      <c r="EL159" s="161"/>
      <c r="EM159" s="161"/>
      <c r="EN159" s="161"/>
      <c r="EO159" s="161"/>
      <c r="EP159" s="161"/>
    </row>
    <row r="160" spans="1:146" s="162" customFormat="1" ht="80" hidden="1" customHeight="1">
      <c r="A160" s="161"/>
      <c r="B160" s="513" t="s">
        <v>294</v>
      </c>
      <c r="C160" s="513"/>
      <c r="D160" s="513"/>
      <c r="E160" s="513"/>
      <c r="F160" s="513"/>
      <c r="G160" s="513"/>
      <c r="H160" s="513"/>
      <c r="I160" s="513"/>
      <c r="J160" s="513"/>
      <c r="K160" s="513"/>
      <c r="L160" s="513"/>
      <c r="M160" s="513"/>
      <c r="N160" s="513"/>
      <c r="O160" s="513"/>
      <c r="P160" s="513"/>
      <c r="Q160" s="513"/>
      <c r="R160" s="513"/>
      <c r="S160" s="513"/>
      <c r="T160" s="513"/>
      <c r="U160" s="513"/>
      <c r="V160" s="513"/>
      <c r="W160" s="513"/>
      <c r="X160" s="513"/>
      <c r="Y160" s="513"/>
      <c r="Z160" s="513"/>
      <c r="AA160" s="513"/>
      <c r="AC160"/>
      <c r="AD160"/>
      <c r="AE160"/>
      <c r="AF160"/>
      <c r="AG160"/>
      <c r="AH160"/>
      <c r="AI160"/>
      <c r="AJ160"/>
    </row>
    <row r="161" spans="1:36" s="162" customFormat="1" ht="12" hidden="1" customHeight="1">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C161"/>
      <c r="AD161"/>
      <c r="AE161"/>
      <c r="AF161"/>
      <c r="AG161"/>
      <c r="AH161"/>
      <c r="AI161"/>
      <c r="AJ161"/>
    </row>
    <row r="162" spans="1:36" s="162" customFormat="1" ht="76" hidden="1" customHeight="1">
      <c r="A162" s="161"/>
      <c r="B162" s="512" t="s">
        <v>246</v>
      </c>
      <c r="C162" s="512"/>
      <c r="D162" s="512"/>
      <c r="E162" s="512"/>
      <c r="F162" s="512"/>
      <c r="G162" s="512"/>
      <c r="H162" s="512"/>
      <c r="I162" s="512"/>
      <c r="J162" s="512"/>
      <c r="K162" s="512"/>
      <c r="L162" s="512"/>
      <c r="M162" s="512"/>
      <c r="N162" s="512"/>
      <c r="O162" s="512"/>
      <c r="P162" s="512"/>
      <c r="Q162" s="512"/>
      <c r="R162" s="512"/>
      <c r="S162" s="512"/>
      <c r="T162" s="512"/>
      <c r="U162" s="512"/>
      <c r="V162" s="512"/>
      <c r="W162" s="512"/>
      <c r="X162" s="512"/>
      <c r="Y162" s="512"/>
      <c r="Z162" s="512"/>
      <c r="AA162" s="512"/>
      <c r="AC162"/>
      <c r="AD162"/>
      <c r="AE162"/>
      <c r="AF162"/>
      <c r="AG162"/>
      <c r="AH162"/>
      <c r="AI162"/>
      <c r="AJ162"/>
    </row>
    <row r="163" spans="1:36" s="162" customFormat="1" ht="48" hidden="1" customHeight="1">
      <c r="A163" s="161"/>
      <c r="B163" s="512" t="s">
        <v>247</v>
      </c>
      <c r="C163" s="512"/>
      <c r="D163" s="512"/>
      <c r="E163" s="512"/>
      <c r="F163" s="512"/>
      <c r="G163" s="512"/>
      <c r="H163" s="512"/>
      <c r="I163" s="512"/>
      <c r="J163" s="512"/>
      <c r="K163" s="512"/>
      <c r="L163" s="512"/>
      <c r="M163" s="512"/>
      <c r="N163" s="512"/>
      <c r="O163" s="512"/>
      <c r="P163" s="512"/>
      <c r="Q163" s="512"/>
      <c r="R163" s="512"/>
      <c r="S163" s="512"/>
      <c r="T163" s="512"/>
      <c r="U163" s="512"/>
      <c r="V163" s="512"/>
      <c r="W163" s="512"/>
      <c r="X163" s="512"/>
      <c r="Y163" s="512"/>
      <c r="Z163" s="512"/>
      <c r="AA163" s="512"/>
      <c r="AC163"/>
      <c r="AD163"/>
      <c r="AE163"/>
      <c r="AF163"/>
      <c r="AG163"/>
      <c r="AH163"/>
      <c r="AI163"/>
      <c r="AJ163"/>
    </row>
    <row r="164" spans="1:36" s="162" customFormat="1" ht="52" hidden="1" customHeight="1">
      <c r="A164" s="161"/>
      <c r="B164" s="512" t="s">
        <v>242</v>
      </c>
      <c r="C164" s="512"/>
      <c r="D164" s="512"/>
      <c r="E164" s="512"/>
      <c r="F164" s="512"/>
      <c r="G164" s="512"/>
      <c r="H164" s="512"/>
      <c r="I164" s="512"/>
      <c r="J164" s="512"/>
      <c r="K164" s="512"/>
      <c r="L164" s="512"/>
      <c r="M164" s="512"/>
      <c r="N164" s="512"/>
      <c r="O164" s="512"/>
      <c r="P164" s="512"/>
      <c r="Q164" s="512"/>
      <c r="R164" s="512"/>
      <c r="S164" s="512"/>
      <c r="T164" s="512"/>
      <c r="U164" s="512"/>
      <c r="V164" s="512"/>
      <c r="W164" s="512"/>
      <c r="X164" s="512"/>
      <c r="Y164" s="512"/>
      <c r="Z164" s="512"/>
      <c r="AA164" s="512"/>
      <c r="AC164"/>
      <c r="AD164"/>
      <c r="AE164"/>
      <c r="AF164"/>
      <c r="AG164"/>
      <c r="AH164"/>
      <c r="AI164"/>
      <c r="AJ164"/>
    </row>
    <row r="165" spans="1:36" s="162" customFormat="1" ht="50" hidden="1" customHeight="1">
      <c r="A165" s="161"/>
      <c r="B165" s="512" t="s">
        <v>248</v>
      </c>
      <c r="C165" s="512"/>
      <c r="D165" s="512"/>
      <c r="E165" s="512"/>
      <c r="F165" s="512"/>
      <c r="G165" s="512"/>
      <c r="H165" s="512"/>
      <c r="I165" s="512"/>
      <c r="J165" s="512"/>
      <c r="K165" s="512"/>
      <c r="L165" s="512"/>
      <c r="M165" s="512"/>
      <c r="N165" s="512"/>
      <c r="O165" s="512"/>
      <c r="P165" s="512"/>
      <c r="Q165" s="512"/>
      <c r="R165" s="512"/>
      <c r="S165" s="512"/>
      <c r="T165" s="512"/>
      <c r="U165" s="512"/>
      <c r="V165" s="512"/>
      <c r="W165" s="512"/>
      <c r="X165" s="512"/>
      <c r="Y165" s="512"/>
      <c r="Z165" s="512"/>
      <c r="AA165" s="512"/>
      <c r="AC165"/>
      <c r="AD165"/>
      <c r="AE165"/>
      <c r="AF165"/>
      <c r="AG165"/>
      <c r="AH165"/>
      <c r="AI165"/>
      <c r="AJ165"/>
    </row>
    <row r="166" spans="1:36" s="162" customFormat="1" ht="12" hidden="1" customHeight="1">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C166"/>
      <c r="AD166"/>
      <c r="AE166"/>
      <c r="AF166"/>
      <c r="AG166"/>
      <c r="AH166"/>
      <c r="AI166"/>
      <c r="AJ166"/>
    </row>
    <row r="167" spans="1:36" s="162" customFormat="1" ht="30" hidden="1" customHeight="1">
      <c r="A167" s="161"/>
      <c r="B167" s="524" t="str">
        <f>"ADMINISTRATION FEE &amp; SUGGESTED GRATUITY: All Food, Beverage and Event services are subject to a "&amp;(N29*100)&amp;"% Administration Fee. Although Skylight Gardens does not impose a Service Fee, Event Hosts are highly encouraged fairly tip out their Event wait staff according to standard suggested gratutities."</f>
        <v>ADMINISTRATION FEE &amp; SUGGESTED GRATUITY: All Food, Beverage and Event services are subject to a 22% Administration Fee. Although Skylight Gardens does not impose a Service Fee, Event Hosts are highly encouraged fairly tip out their Event wait staff according to standard suggested gratutities.</v>
      </c>
      <c r="C167" s="524"/>
      <c r="D167" s="524"/>
      <c r="E167" s="524"/>
      <c r="F167" s="524"/>
      <c r="G167" s="524"/>
      <c r="H167" s="524"/>
      <c r="I167" s="524"/>
      <c r="J167" s="524"/>
      <c r="K167" s="524"/>
      <c r="L167" s="524"/>
      <c r="M167" s="524"/>
      <c r="N167" s="524"/>
      <c r="O167" s="524"/>
      <c r="P167" s="524"/>
      <c r="Q167" s="524"/>
      <c r="R167" s="524"/>
      <c r="S167" s="524"/>
      <c r="T167" s="524"/>
      <c r="U167" s="524"/>
      <c r="V167" s="524"/>
      <c r="W167" s="524"/>
      <c r="X167" s="524"/>
      <c r="Y167" s="524"/>
      <c r="Z167" s="524"/>
      <c r="AA167" s="161"/>
      <c r="AC167"/>
      <c r="AD167"/>
      <c r="AE167"/>
      <c r="AF167"/>
      <c r="AG167"/>
      <c r="AH167"/>
      <c r="AI167"/>
      <c r="AJ167"/>
    </row>
    <row r="168" spans="1:36" s="162" customFormat="1" ht="12" hidden="1" customHeight="1">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C168"/>
      <c r="AD168"/>
      <c r="AE168"/>
      <c r="AF168"/>
      <c r="AG168"/>
      <c r="AH168"/>
      <c r="AI168"/>
      <c r="AJ168"/>
    </row>
    <row r="169" spans="1:36" s="162" customFormat="1" ht="74" hidden="1" customHeight="1">
      <c r="A169" s="161"/>
      <c r="B169" s="525" t="str">
        <f>"SERVICE FEE: All Food, Beverage and Event services are subject to a "&amp;(N29*100)&amp;"% Service Fee (allocated by management to your Event service staff and administration based on an assessment of the Event particulars and service needs)."</f>
        <v>SERVICE FEE: All Food, Beverage and Event services are subject to a 22% Service Fee (allocated by management to your Event service staff and administration based on an assessment of the Event particulars and service needs).</v>
      </c>
      <c r="C169" s="525"/>
      <c r="D169" s="525"/>
      <c r="E169" s="525"/>
      <c r="F169" s="525"/>
      <c r="G169" s="525"/>
      <c r="H169" s="525"/>
      <c r="I169" s="525"/>
      <c r="J169" s="525"/>
      <c r="K169" s="525"/>
      <c r="L169" s="525"/>
      <c r="M169" s="525"/>
      <c r="N169" s="525"/>
      <c r="O169" s="525"/>
      <c r="P169" s="525"/>
      <c r="Q169" s="525"/>
      <c r="R169" s="525"/>
      <c r="S169" s="525"/>
      <c r="T169" s="525"/>
      <c r="U169" s="525"/>
      <c r="V169" s="525"/>
      <c r="W169" s="525"/>
      <c r="X169" s="525"/>
      <c r="Y169" s="525"/>
      <c r="Z169" s="525"/>
      <c r="AA169" s="161"/>
      <c r="AC169"/>
      <c r="AD169"/>
      <c r="AE169"/>
      <c r="AF169"/>
      <c r="AG169"/>
      <c r="AH169"/>
      <c r="AI169"/>
      <c r="AJ169"/>
    </row>
    <row r="170" spans="1:36" s="162" customFormat="1" ht="12" hidden="1" customHeight="1">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c r="AA170" s="161"/>
      <c r="AC170"/>
      <c r="AD170"/>
      <c r="AE170"/>
      <c r="AF170"/>
      <c r="AG170"/>
      <c r="AH170"/>
      <c r="AI170"/>
      <c r="AJ170"/>
    </row>
    <row r="171" spans="1:36" s="162" customFormat="1" ht="12" hidden="1" customHeight="1">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C171"/>
      <c r="AD171"/>
      <c r="AE171"/>
      <c r="AF171"/>
      <c r="AG171"/>
      <c r="AH171"/>
      <c r="AI171"/>
      <c r="AJ171"/>
    </row>
    <row r="172" spans="1:36" s="162" customFormat="1" ht="12" hidden="1" customHeight="1">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c r="AC172"/>
      <c r="AD172"/>
      <c r="AE172"/>
      <c r="AF172"/>
      <c r="AG172"/>
      <c r="AH172"/>
      <c r="AI172"/>
      <c r="AJ172"/>
    </row>
    <row r="173" spans="1:36" s="162" customFormat="1" ht="12" hidden="1" customHeight="1">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C173"/>
      <c r="AD173"/>
      <c r="AE173"/>
      <c r="AF173"/>
      <c r="AG173"/>
      <c r="AH173"/>
      <c r="AI173"/>
      <c r="AJ173"/>
    </row>
    <row r="174" spans="1:36" s="162" customFormat="1" ht="12" hidden="1" customHeight="1">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c r="AA174" s="161"/>
      <c r="AC174"/>
      <c r="AD174"/>
      <c r="AE174"/>
      <c r="AF174"/>
      <c r="AG174"/>
      <c r="AH174"/>
      <c r="AI174"/>
      <c r="AJ174"/>
    </row>
    <row r="175" spans="1:36" s="162" customFormat="1" ht="12" hidden="1" customHeight="1">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C175"/>
      <c r="AD175"/>
      <c r="AE175"/>
      <c r="AF175"/>
      <c r="AG175"/>
      <c r="AH175"/>
      <c r="AI175"/>
      <c r="AJ175"/>
    </row>
    <row r="176" spans="1:36" s="162" customFormat="1" ht="12" hidden="1" customHeight="1">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c r="AC176"/>
      <c r="AD176"/>
      <c r="AE176"/>
      <c r="AF176"/>
      <c r="AG176"/>
      <c r="AH176"/>
      <c r="AI176"/>
      <c r="AJ176"/>
    </row>
    <row r="177" spans="1:36" s="162" customFormat="1" ht="12" hidden="1" customHeight="1">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C177"/>
      <c r="AD177"/>
      <c r="AE177"/>
      <c r="AF177"/>
      <c r="AG177"/>
      <c r="AH177"/>
      <c r="AI177"/>
      <c r="AJ177"/>
    </row>
    <row r="178" spans="1:36" s="162" customFormat="1" ht="12" hidden="1" customHeight="1">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c r="AC178"/>
      <c r="AD178"/>
      <c r="AE178"/>
      <c r="AF178"/>
      <c r="AG178"/>
      <c r="AH178"/>
      <c r="AI178"/>
      <c r="AJ178"/>
    </row>
    <row r="179" spans="1:36" s="162" customFormat="1" ht="12" hidden="1" customHeight="1">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C179"/>
      <c r="AD179"/>
      <c r="AE179"/>
      <c r="AF179"/>
      <c r="AG179"/>
      <c r="AH179"/>
      <c r="AI179"/>
      <c r="AJ179"/>
    </row>
    <row r="180" spans="1:36" s="162" customFormat="1" ht="12" hidden="1" customHeight="1">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C180"/>
      <c r="AD180"/>
      <c r="AE180"/>
      <c r="AF180"/>
      <c r="AG180"/>
      <c r="AH180"/>
      <c r="AI180"/>
      <c r="AJ180"/>
    </row>
    <row r="181" spans="1:36" s="162" customFormat="1" ht="12" hidden="1" customHeight="1">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C181"/>
      <c r="AD181"/>
      <c r="AE181"/>
      <c r="AF181"/>
      <c r="AG181"/>
      <c r="AH181"/>
      <c r="AI181"/>
      <c r="AJ181"/>
    </row>
    <row r="182" spans="1:36" s="162" customFormat="1" ht="12" hidden="1" customHeight="1">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C182"/>
      <c r="AD182"/>
      <c r="AE182"/>
      <c r="AF182"/>
      <c r="AG182"/>
      <c r="AH182"/>
      <c r="AI182"/>
      <c r="AJ182"/>
    </row>
    <row r="183" spans="1:36" s="162" customFormat="1" ht="12" hidden="1" customHeight="1">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C183"/>
      <c r="AD183"/>
      <c r="AE183"/>
      <c r="AF183"/>
      <c r="AG183"/>
      <c r="AH183"/>
      <c r="AI183"/>
      <c r="AJ183"/>
    </row>
    <row r="184" spans="1:36" s="162" customFormat="1" ht="12" hidden="1" customHeight="1">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C184"/>
      <c r="AD184"/>
      <c r="AE184"/>
      <c r="AF184"/>
      <c r="AG184"/>
      <c r="AH184"/>
      <c r="AI184"/>
      <c r="AJ184"/>
    </row>
    <row r="185" spans="1:36" s="162" customFormat="1" ht="12" hidden="1" customHeight="1">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C185"/>
      <c r="AD185"/>
      <c r="AE185"/>
      <c r="AF185"/>
      <c r="AG185"/>
      <c r="AH185"/>
      <c r="AI185"/>
      <c r="AJ185"/>
    </row>
    <row r="186" spans="1:36" s="162" customFormat="1" ht="12" hidden="1" customHeight="1">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C186"/>
      <c r="AD186"/>
      <c r="AE186"/>
      <c r="AF186"/>
      <c r="AG186"/>
      <c r="AH186"/>
      <c r="AI186"/>
      <c r="AJ186"/>
    </row>
    <row r="187" spans="1:36" s="162" customFormat="1" ht="12" hidden="1" customHeight="1">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C187"/>
      <c r="AD187"/>
      <c r="AE187"/>
      <c r="AF187"/>
      <c r="AG187"/>
      <c r="AH187"/>
      <c r="AI187"/>
      <c r="AJ187"/>
    </row>
    <row r="188" spans="1:36" s="162" customFormat="1" ht="12" hidden="1" customHeight="1">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C188"/>
      <c r="AD188"/>
      <c r="AE188"/>
      <c r="AF188"/>
      <c r="AG188"/>
      <c r="AH188"/>
      <c r="AI188"/>
      <c r="AJ188"/>
    </row>
    <row r="189" spans="1:36" s="162" customFormat="1" ht="12" hidden="1" customHeight="1">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C189"/>
      <c r="AD189"/>
      <c r="AE189"/>
      <c r="AF189"/>
      <c r="AG189"/>
      <c r="AH189"/>
      <c r="AI189"/>
      <c r="AJ189"/>
    </row>
    <row r="190" spans="1:36" s="162" customFormat="1" ht="12" hidden="1" customHeight="1">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C190"/>
      <c r="AD190"/>
      <c r="AE190"/>
      <c r="AF190"/>
      <c r="AG190"/>
      <c r="AH190"/>
      <c r="AI190"/>
      <c r="AJ190"/>
    </row>
    <row r="191" spans="1:36" s="162" customFormat="1" ht="12" hidden="1" customHeight="1">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C191"/>
      <c r="AD191"/>
      <c r="AE191"/>
      <c r="AF191"/>
      <c r="AG191"/>
      <c r="AH191"/>
      <c r="AI191"/>
      <c r="AJ191"/>
    </row>
    <row r="192" spans="1:36" s="162" customFormat="1" ht="12" hidden="1" customHeight="1">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c r="AA192" s="161"/>
      <c r="AC192"/>
      <c r="AD192"/>
      <c r="AE192"/>
      <c r="AF192"/>
      <c r="AG192"/>
      <c r="AH192"/>
      <c r="AI192"/>
      <c r="AJ192"/>
    </row>
    <row r="193" spans="1:146" s="162" customFormat="1" ht="12" hidden="1" customHeight="1">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C193"/>
      <c r="AD193"/>
      <c r="AE193"/>
      <c r="AF193"/>
      <c r="AG193"/>
      <c r="AH193"/>
      <c r="AI193"/>
      <c r="AJ193"/>
    </row>
    <row r="194" spans="1:146" s="162" customFormat="1" ht="12" hidden="1" customHeight="1">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C194"/>
      <c r="AD194"/>
      <c r="AE194"/>
      <c r="AF194"/>
      <c r="AG194"/>
      <c r="AH194"/>
      <c r="AI194"/>
      <c r="AJ194"/>
    </row>
    <row r="195" spans="1:146" s="162" customFormat="1" ht="12" hidden="1" customHeight="1">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C195"/>
      <c r="AD195"/>
      <c r="AE195"/>
      <c r="AF195"/>
      <c r="AG195"/>
      <c r="AH195"/>
      <c r="AI195"/>
      <c r="AJ195"/>
    </row>
    <row r="196" spans="1:146" s="162" customFormat="1" ht="12" hidden="1" customHeight="1">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C196"/>
      <c r="AD196"/>
      <c r="AE196"/>
      <c r="AF196"/>
      <c r="AG196"/>
      <c r="AH196"/>
      <c r="AI196"/>
      <c r="AJ196"/>
    </row>
    <row r="197" spans="1:146" s="162" customFormat="1" ht="12" hidden="1" customHeight="1">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C197"/>
      <c r="AD197"/>
      <c r="AE197"/>
      <c r="AF197"/>
      <c r="AG197"/>
      <c r="AH197"/>
      <c r="AI197"/>
      <c r="AJ197"/>
    </row>
    <row r="198" spans="1:146" s="162" customFormat="1" ht="12" hidden="1" customHeight="1">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C198"/>
      <c r="AD198"/>
      <c r="AE198"/>
      <c r="AF198"/>
      <c r="AG198"/>
      <c r="AH198"/>
      <c r="AI198"/>
      <c r="AJ198"/>
    </row>
    <row r="199" spans="1:146" s="162" customFormat="1" ht="12" hidden="1" customHeight="1">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C199"/>
      <c r="AD199"/>
      <c r="AE199"/>
      <c r="AF199"/>
      <c r="AG199"/>
      <c r="AH199"/>
      <c r="AI199"/>
      <c r="AJ199"/>
    </row>
    <row r="200" spans="1:146" s="162" customFormat="1" ht="12" hidden="1" customHeight="1">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c r="AC200"/>
      <c r="AD200"/>
      <c r="AE200"/>
      <c r="AF200"/>
      <c r="AG200"/>
      <c r="AH200"/>
      <c r="AI200"/>
      <c r="AJ200"/>
    </row>
    <row r="201" spans="1:146" s="162" customFormat="1" ht="12" hidden="1" customHeight="1">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c r="AC201"/>
      <c r="AD201"/>
      <c r="AE201"/>
      <c r="AF201"/>
      <c r="AG201"/>
      <c r="AH201"/>
      <c r="AI201"/>
      <c r="AJ201"/>
    </row>
    <row r="202" spans="1:146" s="162" customFormat="1" ht="12" hidden="1" customHeight="1">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c r="AA202" s="161"/>
      <c r="AC202"/>
      <c r="AD202"/>
      <c r="AE202"/>
      <c r="AF202"/>
      <c r="AG202"/>
      <c r="AH202"/>
      <c r="AI202"/>
      <c r="AJ202"/>
    </row>
    <row r="203" spans="1:146" s="162" customFormat="1" ht="12" hidden="1" customHeight="1">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c r="AA203" s="161"/>
      <c r="AC203"/>
      <c r="AD203"/>
      <c r="AE203"/>
      <c r="AF203"/>
      <c r="AG203"/>
      <c r="AH203"/>
      <c r="AI203"/>
      <c r="AJ203"/>
    </row>
    <row r="204" spans="1:146" s="162" customFormat="1" ht="12" hidden="1" customHeight="1">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c r="AA204" s="161"/>
      <c r="AC204"/>
      <c r="AD204"/>
      <c r="AE204"/>
      <c r="AF204"/>
      <c r="AG204"/>
      <c r="AH204"/>
      <c r="AI204"/>
      <c r="AJ204"/>
    </row>
    <row r="205" spans="1:146" s="162" customFormat="1" ht="12" hidden="1" customHeight="1">
      <c r="B205" s="216"/>
      <c r="C205" s="216"/>
      <c r="D205" s="216"/>
      <c r="AC205"/>
      <c r="AD205"/>
      <c r="AE205"/>
      <c r="AF205"/>
      <c r="AG205"/>
      <c r="AH205"/>
      <c r="AI205"/>
      <c r="AJ205"/>
      <c r="AK205" s="161"/>
      <c r="AL205" s="161"/>
      <c r="AM205" s="161"/>
      <c r="AN205" s="161"/>
      <c r="AO205" s="161"/>
      <c r="AP205" s="161"/>
      <c r="AQ205" s="161"/>
      <c r="AR205" s="161"/>
      <c r="AS205" s="161"/>
      <c r="AT205" s="161"/>
      <c r="AU205" s="161"/>
      <c r="AV205" s="161"/>
      <c r="AW205" s="161"/>
      <c r="AX205" s="161"/>
      <c r="AY205" s="161"/>
      <c r="AZ205" s="161"/>
      <c r="BA205" s="161"/>
      <c r="BB205" s="161"/>
      <c r="BC205" s="161"/>
      <c r="BD205" s="161"/>
      <c r="BE205" s="161"/>
      <c r="BF205" s="161"/>
      <c r="BG205" s="161"/>
      <c r="BH205" s="161"/>
      <c r="BI205" s="161"/>
      <c r="BJ205" s="161"/>
      <c r="BK205" s="161"/>
      <c r="BL205" s="161"/>
      <c r="BM205" s="161"/>
      <c r="BN205" s="161"/>
      <c r="BO205" s="161"/>
      <c r="BP205" s="161"/>
      <c r="BQ205" s="161"/>
      <c r="BR205" s="161"/>
      <c r="BS205" s="161"/>
      <c r="BT205" s="161"/>
      <c r="BU205" s="161"/>
      <c r="BV205" s="161"/>
      <c r="BW205" s="161"/>
      <c r="BX205" s="161"/>
      <c r="BY205" s="161"/>
      <c r="BZ205" s="161"/>
      <c r="CA205" s="161"/>
      <c r="CB205" s="161"/>
      <c r="CC205" s="161"/>
      <c r="CD205" s="161"/>
      <c r="CE205" s="161"/>
      <c r="CF205" s="161"/>
      <c r="CG205" s="161"/>
      <c r="CH205" s="161"/>
      <c r="CI205" s="161"/>
      <c r="CJ205" s="161"/>
      <c r="CK205" s="161"/>
      <c r="CL205" s="161"/>
      <c r="CM205" s="161"/>
      <c r="CN205" s="161"/>
      <c r="CO205" s="161"/>
      <c r="CP205" s="161"/>
      <c r="CQ205" s="161"/>
      <c r="CR205" s="161"/>
      <c r="CS205" s="161"/>
      <c r="CT205" s="161"/>
      <c r="CU205" s="161"/>
      <c r="CV205" s="161"/>
      <c r="CW205" s="161"/>
      <c r="CX205" s="161"/>
      <c r="CY205" s="161"/>
      <c r="CZ205" s="161"/>
      <c r="DA205" s="161"/>
      <c r="DB205" s="161"/>
      <c r="DC205" s="161"/>
      <c r="DD205" s="161"/>
      <c r="DE205" s="161"/>
      <c r="DF205" s="161"/>
      <c r="DG205" s="161"/>
      <c r="DH205" s="161"/>
      <c r="DI205" s="161"/>
      <c r="DJ205" s="161"/>
      <c r="DK205" s="161"/>
      <c r="DL205" s="161"/>
      <c r="DM205" s="161"/>
      <c r="DN205" s="161"/>
      <c r="DO205" s="161"/>
      <c r="DP205" s="161"/>
      <c r="DQ205" s="161"/>
      <c r="DR205" s="161"/>
      <c r="DS205" s="161"/>
      <c r="DT205" s="161"/>
      <c r="DU205" s="161"/>
      <c r="DV205" s="161"/>
      <c r="DW205" s="161"/>
      <c r="DX205" s="161"/>
      <c r="DY205" s="161"/>
      <c r="DZ205" s="161"/>
      <c r="EA205" s="161"/>
      <c r="EB205" s="161"/>
      <c r="EC205" s="161"/>
      <c r="ED205" s="161"/>
      <c r="EE205" s="161"/>
      <c r="EF205" s="161"/>
      <c r="EG205" s="161"/>
      <c r="EH205" s="161"/>
      <c r="EI205" s="161"/>
      <c r="EJ205" s="161"/>
      <c r="EK205" s="161"/>
      <c r="EL205" s="161"/>
      <c r="EM205" s="161"/>
      <c r="EN205" s="161"/>
      <c r="EO205" s="161"/>
      <c r="EP205" s="161"/>
    </row>
    <row r="206" spans="1:146" s="162" customFormat="1" ht="12" hidden="1" customHeight="1">
      <c r="B206" s="216"/>
      <c r="C206" s="216"/>
      <c r="D206" s="216"/>
      <c r="AC206"/>
      <c r="AD206"/>
      <c r="AE206"/>
      <c r="AF206"/>
      <c r="AG206"/>
      <c r="AH206"/>
      <c r="AI206"/>
      <c r="AJ206"/>
      <c r="AK206" s="161"/>
      <c r="AL206" s="161"/>
      <c r="AM206" s="161"/>
      <c r="AN206" s="161"/>
      <c r="AO206" s="161"/>
      <c r="AP206" s="161"/>
      <c r="AQ206" s="161"/>
      <c r="AR206" s="161"/>
      <c r="AS206" s="161"/>
      <c r="AT206" s="161"/>
      <c r="AU206" s="161"/>
      <c r="AV206" s="161"/>
      <c r="AW206" s="161"/>
      <c r="AX206" s="161"/>
      <c r="AY206" s="161"/>
      <c r="AZ206" s="161"/>
      <c r="BA206" s="161"/>
      <c r="BB206" s="161"/>
      <c r="BC206" s="161"/>
      <c r="BD206" s="161"/>
      <c r="BE206" s="161"/>
      <c r="BF206" s="161"/>
      <c r="BG206" s="161"/>
      <c r="BH206" s="161"/>
      <c r="BI206" s="161"/>
      <c r="BJ206" s="161"/>
      <c r="BK206" s="161"/>
      <c r="BL206" s="161"/>
      <c r="BM206" s="161"/>
      <c r="BN206" s="161"/>
      <c r="BO206" s="161"/>
      <c r="BP206" s="161"/>
      <c r="BQ206" s="161"/>
      <c r="BR206" s="161"/>
      <c r="BS206" s="161"/>
      <c r="BT206" s="161"/>
      <c r="BU206" s="161"/>
      <c r="BV206" s="161"/>
      <c r="BW206" s="161"/>
      <c r="BX206" s="161"/>
      <c r="BY206" s="161"/>
      <c r="BZ206" s="161"/>
      <c r="CA206" s="161"/>
      <c r="CB206" s="161"/>
      <c r="CC206" s="161"/>
      <c r="CD206" s="161"/>
      <c r="CE206" s="161"/>
      <c r="CF206" s="161"/>
      <c r="CG206" s="161"/>
      <c r="CH206" s="161"/>
      <c r="CI206" s="161"/>
      <c r="CJ206" s="161"/>
      <c r="CK206" s="161"/>
      <c r="CL206" s="161"/>
      <c r="CM206" s="161"/>
      <c r="CN206" s="161"/>
      <c r="CO206" s="161"/>
      <c r="CP206" s="161"/>
      <c r="CQ206" s="161"/>
      <c r="CR206" s="161"/>
      <c r="CS206" s="161"/>
      <c r="CT206" s="161"/>
      <c r="CU206" s="161"/>
      <c r="CV206" s="161"/>
      <c r="CW206" s="161"/>
      <c r="CX206" s="161"/>
      <c r="CY206" s="161"/>
      <c r="CZ206" s="161"/>
      <c r="DA206" s="161"/>
      <c r="DB206" s="161"/>
      <c r="DC206" s="161"/>
      <c r="DD206" s="161"/>
      <c r="DE206" s="161"/>
      <c r="DF206" s="161"/>
      <c r="DG206" s="161"/>
      <c r="DH206" s="161"/>
      <c r="DI206" s="161"/>
      <c r="DJ206" s="161"/>
      <c r="DK206" s="161"/>
      <c r="DL206" s="161"/>
      <c r="DM206" s="161"/>
      <c r="DN206" s="161"/>
      <c r="DO206" s="161"/>
      <c r="DP206" s="161"/>
      <c r="DQ206" s="161"/>
      <c r="DR206" s="161"/>
      <c r="DS206" s="161"/>
      <c r="DT206" s="161"/>
      <c r="DU206" s="161"/>
      <c r="DV206" s="161"/>
      <c r="DW206" s="161"/>
      <c r="DX206" s="161"/>
      <c r="DY206" s="161"/>
      <c r="DZ206" s="161"/>
      <c r="EA206" s="161"/>
      <c r="EB206" s="161"/>
      <c r="EC206" s="161"/>
      <c r="ED206" s="161"/>
      <c r="EE206" s="161"/>
      <c r="EF206" s="161"/>
      <c r="EG206" s="161"/>
      <c r="EH206" s="161"/>
      <c r="EI206" s="161"/>
      <c r="EJ206" s="161"/>
      <c r="EK206" s="161"/>
      <c r="EL206" s="161"/>
      <c r="EM206" s="161"/>
      <c r="EN206" s="161"/>
      <c r="EO206" s="161"/>
      <c r="EP206" s="161"/>
    </row>
    <row r="207" spans="1:146" s="162" customFormat="1" ht="12" hidden="1" customHeight="1">
      <c r="B207" s="216"/>
      <c r="C207" s="216"/>
      <c r="D207" s="216"/>
      <c r="AC207"/>
      <c r="AD207"/>
      <c r="AE207"/>
      <c r="AF207"/>
      <c r="AG207"/>
      <c r="AH207"/>
      <c r="AI207"/>
      <c r="AJ207"/>
      <c r="AK207" s="161"/>
      <c r="AL207" s="161"/>
      <c r="AM207" s="161"/>
      <c r="AN207" s="161"/>
      <c r="AO207" s="161"/>
      <c r="AP207" s="161"/>
      <c r="AQ207" s="161"/>
      <c r="AR207" s="161"/>
      <c r="AS207" s="161"/>
      <c r="AT207" s="161"/>
      <c r="AU207" s="161"/>
      <c r="AV207" s="161"/>
      <c r="AW207" s="161"/>
      <c r="AX207" s="161"/>
      <c r="AY207" s="161"/>
      <c r="AZ207" s="161"/>
      <c r="BA207" s="161"/>
      <c r="BB207" s="161"/>
      <c r="BC207" s="161"/>
      <c r="BD207" s="161"/>
      <c r="BE207" s="161"/>
      <c r="BF207" s="161"/>
      <c r="BG207" s="161"/>
      <c r="BH207" s="161"/>
      <c r="BI207" s="161"/>
      <c r="BJ207" s="161"/>
      <c r="BK207" s="161"/>
      <c r="BL207" s="161"/>
      <c r="BM207" s="161"/>
      <c r="BN207" s="161"/>
      <c r="BO207" s="161"/>
      <c r="BP207" s="161"/>
      <c r="BQ207" s="161"/>
      <c r="BR207" s="161"/>
      <c r="BS207" s="161"/>
      <c r="BT207" s="161"/>
      <c r="BU207" s="161"/>
      <c r="BV207" s="161"/>
      <c r="BW207" s="161"/>
      <c r="BX207" s="161"/>
      <c r="BY207" s="161"/>
      <c r="BZ207" s="161"/>
      <c r="CA207" s="161"/>
      <c r="CB207" s="161"/>
      <c r="CC207" s="161"/>
      <c r="CD207" s="161"/>
      <c r="CE207" s="161"/>
      <c r="CF207" s="161"/>
      <c r="CG207" s="161"/>
      <c r="CH207" s="161"/>
      <c r="CI207" s="161"/>
      <c r="CJ207" s="161"/>
      <c r="CK207" s="161"/>
      <c r="CL207" s="161"/>
      <c r="CM207" s="161"/>
      <c r="CN207" s="161"/>
      <c r="CO207" s="161"/>
      <c r="CP207" s="161"/>
      <c r="CQ207" s="161"/>
      <c r="CR207" s="161"/>
      <c r="CS207" s="161"/>
      <c r="CT207" s="161"/>
      <c r="CU207" s="161"/>
      <c r="CV207" s="161"/>
      <c r="CW207" s="161"/>
      <c r="CX207" s="161"/>
      <c r="CY207" s="161"/>
      <c r="CZ207" s="161"/>
      <c r="DA207" s="161"/>
      <c r="DB207" s="161"/>
      <c r="DC207" s="161"/>
      <c r="DD207" s="161"/>
      <c r="DE207" s="161"/>
      <c r="DF207" s="161"/>
      <c r="DG207" s="161"/>
      <c r="DH207" s="161"/>
      <c r="DI207" s="161"/>
      <c r="DJ207" s="161"/>
      <c r="DK207" s="161"/>
      <c r="DL207" s="161"/>
      <c r="DM207" s="161"/>
      <c r="DN207" s="161"/>
      <c r="DO207" s="161"/>
      <c r="DP207" s="161"/>
      <c r="DQ207" s="161"/>
      <c r="DR207" s="161"/>
      <c r="DS207" s="161"/>
      <c r="DT207" s="161"/>
      <c r="DU207" s="161"/>
      <c r="DV207" s="161"/>
      <c r="DW207" s="161"/>
      <c r="DX207" s="161"/>
      <c r="DY207" s="161"/>
      <c r="DZ207" s="161"/>
      <c r="EA207" s="161"/>
      <c r="EB207" s="161"/>
      <c r="EC207" s="161"/>
      <c r="ED207" s="161"/>
      <c r="EE207" s="161"/>
      <c r="EF207" s="161"/>
      <c r="EG207" s="161"/>
      <c r="EH207" s="161"/>
      <c r="EI207" s="161"/>
      <c r="EJ207" s="161"/>
      <c r="EK207" s="161"/>
      <c r="EL207" s="161"/>
      <c r="EM207" s="161"/>
      <c r="EN207" s="161"/>
      <c r="EO207" s="161"/>
      <c r="EP207" s="161"/>
    </row>
    <row r="208" spans="1:146" s="162" customFormat="1" ht="12" hidden="1" customHeight="1">
      <c r="B208" s="216"/>
      <c r="C208" s="216"/>
      <c r="D208" s="216"/>
      <c r="AC208"/>
      <c r="AD208"/>
      <c r="AE208"/>
      <c r="AF208"/>
      <c r="AG208"/>
      <c r="AH208"/>
      <c r="AI208"/>
      <c r="AJ208"/>
      <c r="AK208" s="161"/>
      <c r="AL208" s="161"/>
      <c r="AM208" s="161"/>
      <c r="AN208" s="161"/>
      <c r="AO208" s="161"/>
      <c r="AP208" s="161"/>
      <c r="AQ208" s="161"/>
      <c r="AR208" s="161"/>
      <c r="AS208" s="161"/>
      <c r="AT208" s="161"/>
      <c r="AU208" s="161"/>
      <c r="AV208" s="161"/>
      <c r="AW208" s="161"/>
      <c r="AX208" s="161"/>
      <c r="AY208" s="161"/>
      <c r="AZ208" s="161"/>
      <c r="BA208" s="161"/>
      <c r="BB208" s="161"/>
      <c r="BC208" s="161"/>
      <c r="BD208" s="161"/>
      <c r="BE208" s="161"/>
      <c r="BF208" s="161"/>
      <c r="BG208" s="161"/>
      <c r="BH208" s="161"/>
      <c r="BI208" s="161"/>
      <c r="BJ208" s="161"/>
      <c r="BK208" s="161"/>
      <c r="BL208" s="161"/>
      <c r="BM208" s="161"/>
      <c r="BN208" s="161"/>
      <c r="BO208" s="161"/>
      <c r="BP208" s="161"/>
      <c r="BQ208" s="161"/>
      <c r="BR208" s="161"/>
      <c r="BS208" s="161"/>
      <c r="BT208" s="161"/>
      <c r="BU208" s="161"/>
      <c r="BV208" s="161"/>
      <c r="BW208" s="161"/>
      <c r="BX208" s="161"/>
      <c r="BY208" s="161"/>
      <c r="BZ208" s="161"/>
      <c r="CA208" s="161"/>
      <c r="CB208" s="161"/>
      <c r="CC208" s="161"/>
      <c r="CD208" s="161"/>
      <c r="CE208" s="161"/>
      <c r="CF208" s="161"/>
      <c r="CG208" s="161"/>
      <c r="CH208" s="161"/>
      <c r="CI208" s="161"/>
      <c r="CJ208" s="161"/>
      <c r="CK208" s="161"/>
      <c r="CL208" s="161"/>
      <c r="CM208" s="161"/>
      <c r="CN208" s="161"/>
      <c r="CO208" s="161"/>
      <c r="CP208" s="161"/>
      <c r="CQ208" s="161"/>
      <c r="CR208" s="161"/>
      <c r="CS208" s="161"/>
      <c r="CT208" s="161"/>
      <c r="CU208" s="161"/>
      <c r="CV208" s="161"/>
      <c r="CW208" s="161"/>
      <c r="CX208" s="161"/>
      <c r="CY208" s="161"/>
      <c r="CZ208" s="161"/>
      <c r="DA208" s="161"/>
      <c r="DB208" s="161"/>
      <c r="DC208" s="161"/>
      <c r="DD208" s="161"/>
      <c r="DE208" s="161"/>
      <c r="DF208" s="161"/>
      <c r="DG208" s="161"/>
      <c r="DH208" s="161"/>
      <c r="DI208" s="161"/>
      <c r="DJ208" s="161"/>
      <c r="DK208" s="161"/>
      <c r="DL208" s="161"/>
      <c r="DM208" s="161"/>
      <c r="DN208" s="161"/>
      <c r="DO208" s="161"/>
      <c r="DP208" s="161"/>
      <c r="DQ208" s="161"/>
      <c r="DR208" s="161"/>
      <c r="DS208" s="161"/>
      <c r="DT208" s="161"/>
      <c r="DU208" s="161"/>
      <c r="DV208" s="161"/>
      <c r="DW208" s="161"/>
      <c r="DX208" s="161"/>
      <c r="DY208" s="161"/>
      <c r="DZ208" s="161"/>
      <c r="EA208" s="161"/>
      <c r="EB208" s="161"/>
      <c r="EC208" s="161"/>
      <c r="ED208" s="161"/>
      <c r="EE208" s="161"/>
      <c r="EF208" s="161"/>
      <c r="EG208" s="161"/>
      <c r="EH208" s="161"/>
      <c r="EI208" s="161"/>
      <c r="EJ208" s="161"/>
      <c r="EK208" s="161"/>
      <c r="EL208" s="161"/>
      <c r="EM208" s="161"/>
      <c r="EN208" s="161"/>
      <c r="EO208" s="161"/>
      <c r="EP208" s="161"/>
    </row>
    <row r="209" spans="2:146" s="162" customFormat="1" ht="12" hidden="1" customHeight="1">
      <c r="B209" s="216"/>
      <c r="C209" s="216"/>
      <c r="D209" s="216"/>
      <c r="AC209"/>
      <c r="AD209"/>
      <c r="AE209"/>
      <c r="AF209"/>
      <c r="AG209"/>
      <c r="AH209"/>
      <c r="AI209"/>
      <c r="AJ209"/>
      <c r="AK209" s="161"/>
      <c r="AL209" s="161"/>
      <c r="AM209" s="161"/>
      <c r="AN209" s="161"/>
      <c r="AO209" s="161"/>
      <c r="AP209" s="161"/>
      <c r="AQ209" s="161"/>
      <c r="AR209" s="161"/>
      <c r="AS209" s="161"/>
      <c r="AT209" s="161"/>
      <c r="AU209" s="161"/>
      <c r="AV209" s="161"/>
      <c r="AW209" s="161"/>
      <c r="AX209" s="161"/>
      <c r="AY209" s="161"/>
      <c r="AZ209" s="161"/>
      <c r="BA209" s="161"/>
      <c r="BB209" s="161"/>
      <c r="BC209" s="161"/>
      <c r="BD209" s="161"/>
      <c r="BE209" s="161"/>
      <c r="BF209" s="161"/>
      <c r="BG209" s="161"/>
      <c r="BH209" s="161"/>
      <c r="BI209" s="161"/>
      <c r="BJ209" s="161"/>
      <c r="BK209" s="161"/>
      <c r="BL209" s="161"/>
      <c r="BM209" s="161"/>
      <c r="BN209" s="161"/>
      <c r="BO209" s="161"/>
      <c r="BP209" s="161"/>
      <c r="BQ209" s="161"/>
      <c r="BR209" s="161"/>
      <c r="BS209" s="161"/>
      <c r="BT209" s="161"/>
      <c r="BU209" s="161"/>
      <c r="BV209" s="161"/>
      <c r="BW209" s="161"/>
      <c r="BX209" s="161"/>
      <c r="BY209" s="161"/>
      <c r="BZ209" s="161"/>
      <c r="CA209" s="161"/>
      <c r="CB209" s="161"/>
      <c r="CC209" s="161"/>
      <c r="CD209" s="161"/>
      <c r="CE209" s="161"/>
      <c r="CF209" s="161"/>
      <c r="CG209" s="161"/>
      <c r="CH209" s="161"/>
      <c r="CI209" s="161"/>
      <c r="CJ209" s="161"/>
      <c r="CK209" s="161"/>
      <c r="CL209" s="161"/>
      <c r="CM209" s="161"/>
      <c r="CN209" s="161"/>
      <c r="CO209" s="161"/>
      <c r="CP209" s="161"/>
      <c r="CQ209" s="161"/>
      <c r="CR209" s="161"/>
      <c r="CS209" s="161"/>
      <c r="CT209" s="161"/>
      <c r="CU209" s="161"/>
      <c r="CV209" s="161"/>
      <c r="CW209" s="161"/>
      <c r="CX209" s="161"/>
      <c r="CY209" s="161"/>
      <c r="CZ209" s="161"/>
      <c r="DA209" s="161"/>
      <c r="DB209" s="161"/>
      <c r="DC209" s="161"/>
      <c r="DD209" s="161"/>
      <c r="DE209" s="161"/>
      <c r="DF209" s="161"/>
      <c r="DG209" s="161"/>
      <c r="DH209" s="161"/>
      <c r="DI209" s="161"/>
      <c r="DJ209" s="161"/>
      <c r="DK209" s="161"/>
      <c r="DL209" s="161"/>
      <c r="DM209" s="161"/>
      <c r="DN209" s="161"/>
      <c r="DO209" s="161"/>
      <c r="DP209" s="161"/>
      <c r="DQ209" s="161"/>
      <c r="DR209" s="161"/>
      <c r="DS209" s="161"/>
      <c r="DT209" s="161"/>
      <c r="DU209" s="161"/>
      <c r="DV209" s="161"/>
      <c r="DW209" s="161"/>
      <c r="DX209" s="161"/>
      <c r="DY209" s="161"/>
      <c r="DZ209" s="161"/>
      <c r="EA209" s="161"/>
      <c r="EB209" s="161"/>
      <c r="EC209" s="161"/>
      <c r="ED209" s="161"/>
      <c r="EE209" s="161"/>
      <c r="EF209" s="161"/>
      <c r="EG209" s="161"/>
      <c r="EH209" s="161"/>
      <c r="EI209" s="161"/>
      <c r="EJ209" s="161"/>
      <c r="EK209" s="161"/>
      <c r="EL209" s="161"/>
      <c r="EM209" s="161"/>
      <c r="EN209" s="161"/>
      <c r="EO209" s="161"/>
      <c r="EP209" s="161"/>
    </row>
    <row r="210" spans="2:146" s="162" customFormat="1" ht="12" hidden="1" customHeight="1">
      <c r="B210" s="216"/>
      <c r="C210" s="216"/>
      <c r="D210" s="216"/>
      <c r="AC210"/>
      <c r="AD210"/>
      <c r="AE210"/>
      <c r="AF210"/>
      <c r="AG210"/>
      <c r="AH210"/>
      <c r="AI210"/>
      <c r="AJ210"/>
      <c r="AK210" s="161"/>
      <c r="AL210" s="161"/>
      <c r="AM210" s="161"/>
      <c r="AN210" s="161"/>
      <c r="AO210" s="161"/>
      <c r="AP210" s="161"/>
      <c r="AQ210" s="161"/>
      <c r="AR210" s="161"/>
      <c r="AS210" s="161"/>
      <c r="AT210" s="161"/>
      <c r="AU210" s="161"/>
      <c r="AV210" s="161"/>
      <c r="AW210" s="161"/>
      <c r="AX210" s="161"/>
      <c r="AY210" s="161"/>
      <c r="AZ210" s="161"/>
      <c r="BA210" s="161"/>
      <c r="BB210" s="161"/>
      <c r="BC210" s="161"/>
      <c r="BD210" s="161"/>
      <c r="BE210" s="161"/>
      <c r="BF210" s="161"/>
      <c r="BG210" s="161"/>
      <c r="BH210" s="161"/>
      <c r="BI210" s="161"/>
      <c r="BJ210" s="161"/>
      <c r="BK210" s="161"/>
      <c r="BL210" s="161"/>
      <c r="BM210" s="161"/>
      <c r="BN210" s="161"/>
      <c r="BO210" s="161"/>
      <c r="BP210" s="161"/>
      <c r="BQ210" s="161"/>
      <c r="BR210" s="161"/>
      <c r="BS210" s="161"/>
      <c r="BT210" s="161"/>
      <c r="BU210" s="161"/>
      <c r="BV210" s="161"/>
      <c r="BW210" s="161"/>
      <c r="BX210" s="161"/>
      <c r="BY210" s="161"/>
      <c r="BZ210" s="161"/>
      <c r="CA210" s="161"/>
      <c r="CB210" s="161"/>
      <c r="CC210" s="161"/>
      <c r="CD210" s="161"/>
      <c r="CE210" s="161"/>
      <c r="CF210" s="161"/>
      <c r="CG210" s="161"/>
      <c r="CH210" s="161"/>
      <c r="CI210" s="161"/>
      <c r="CJ210" s="161"/>
      <c r="CK210" s="161"/>
      <c r="CL210" s="161"/>
      <c r="CM210" s="161"/>
      <c r="CN210" s="161"/>
      <c r="CO210" s="161"/>
      <c r="CP210" s="161"/>
      <c r="CQ210" s="161"/>
      <c r="CR210" s="161"/>
      <c r="CS210" s="161"/>
      <c r="CT210" s="161"/>
      <c r="CU210" s="161"/>
      <c r="CV210" s="161"/>
      <c r="CW210" s="161"/>
      <c r="CX210" s="161"/>
      <c r="CY210" s="161"/>
      <c r="CZ210" s="161"/>
      <c r="DA210" s="161"/>
      <c r="DB210" s="161"/>
      <c r="DC210" s="161"/>
      <c r="DD210" s="161"/>
      <c r="DE210" s="161"/>
      <c r="DF210" s="161"/>
      <c r="DG210" s="161"/>
      <c r="DH210" s="161"/>
      <c r="DI210" s="161"/>
      <c r="DJ210" s="161"/>
      <c r="DK210" s="161"/>
      <c r="DL210" s="161"/>
      <c r="DM210" s="161"/>
      <c r="DN210" s="161"/>
      <c r="DO210" s="161"/>
      <c r="DP210" s="161"/>
      <c r="DQ210" s="161"/>
      <c r="DR210" s="161"/>
      <c r="DS210" s="161"/>
      <c r="DT210" s="161"/>
      <c r="DU210" s="161"/>
      <c r="DV210" s="161"/>
      <c r="DW210" s="161"/>
      <c r="DX210" s="161"/>
      <c r="DY210" s="161"/>
      <c r="DZ210" s="161"/>
      <c r="EA210" s="161"/>
      <c r="EB210" s="161"/>
      <c r="EC210" s="161"/>
      <c r="ED210" s="161"/>
      <c r="EE210" s="161"/>
      <c r="EF210" s="161"/>
      <c r="EG210" s="161"/>
      <c r="EH210" s="161"/>
      <c r="EI210" s="161"/>
      <c r="EJ210" s="161"/>
      <c r="EK210" s="161"/>
      <c r="EL210" s="161"/>
      <c r="EM210" s="161"/>
      <c r="EN210" s="161"/>
      <c r="EO210" s="161"/>
      <c r="EP210" s="161"/>
    </row>
    <row r="211" spans="2:146" s="162" customFormat="1" ht="12" hidden="1" customHeight="1">
      <c r="B211" s="216"/>
      <c r="C211" s="216"/>
      <c r="D211" s="216"/>
      <c r="AC211"/>
      <c r="AD211"/>
      <c r="AE211"/>
      <c r="AF211"/>
      <c r="AG211"/>
      <c r="AH211"/>
      <c r="AI211"/>
      <c r="AJ211"/>
      <c r="AK211" s="161"/>
      <c r="AL211" s="161"/>
      <c r="AM211" s="161"/>
      <c r="AN211" s="161"/>
      <c r="AO211" s="161"/>
      <c r="AP211" s="161"/>
      <c r="AQ211" s="161"/>
      <c r="AR211" s="161"/>
      <c r="AS211" s="161"/>
      <c r="AT211" s="161"/>
      <c r="AU211" s="161"/>
      <c r="AV211" s="161"/>
      <c r="AW211" s="161"/>
      <c r="AX211" s="161"/>
      <c r="AY211" s="161"/>
      <c r="AZ211" s="161"/>
      <c r="BA211" s="161"/>
      <c r="BB211" s="161"/>
      <c r="BC211" s="161"/>
      <c r="BD211" s="161"/>
      <c r="BE211" s="161"/>
      <c r="BF211" s="161"/>
      <c r="BG211" s="161"/>
      <c r="BH211" s="161"/>
      <c r="BI211" s="161"/>
      <c r="BJ211" s="161"/>
      <c r="BK211" s="161"/>
      <c r="BL211" s="161"/>
      <c r="BM211" s="161"/>
      <c r="BN211" s="161"/>
      <c r="BO211" s="161"/>
      <c r="BP211" s="161"/>
      <c r="BQ211" s="161"/>
      <c r="BR211" s="161"/>
      <c r="BS211" s="161"/>
      <c r="BT211" s="161"/>
      <c r="BU211" s="161"/>
      <c r="BV211" s="161"/>
      <c r="BW211" s="161"/>
      <c r="BX211" s="161"/>
      <c r="BY211" s="161"/>
      <c r="BZ211" s="161"/>
      <c r="CA211" s="161"/>
      <c r="CB211" s="161"/>
      <c r="CC211" s="161"/>
      <c r="CD211" s="161"/>
      <c r="CE211" s="161"/>
      <c r="CF211" s="161"/>
      <c r="CG211" s="161"/>
      <c r="CH211" s="161"/>
      <c r="CI211" s="161"/>
      <c r="CJ211" s="161"/>
      <c r="CK211" s="161"/>
      <c r="CL211" s="161"/>
      <c r="CM211" s="161"/>
      <c r="CN211" s="161"/>
      <c r="CO211" s="161"/>
      <c r="CP211" s="161"/>
      <c r="CQ211" s="161"/>
      <c r="CR211" s="161"/>
      <c r="CS211" s="161"/>
      <c r="CT211" s="161"/>
      <c r="CU211" s="161"/>
      <c r="CV211" s="161"/>
      <c r="CW211" s="161"/>
      <c r="CX211" s="161"/>
      <c r="CY211" s="161"/>
      <c r="CZ211" s="161"/>
      <c r="DA211" s="161"/>
      <c r="DB211" s="161"/>
      <c r="DC211" s="161"/>
      <c r="DD211" s="161"/>
      <c r="DE211" s="161"/>
      <c r="DF211" s="161"/>
      <c r="DG211" s="161"/>
      <c r="DH211" s="161"/>
      <c r="DI211" s="161"/>
      <c r="DJ211" s="161"/>
      <c r="DK211" s="161"/>
      <c r="DL211" s="161"/>
      <c r="DM211" s="161"/>
      <c r="DN211" s="161"/>
      <c r="DO211" s="161"/>
      <c r="DP211" s="161"/>
      <c r="DQ211" s="161"/>
      <c r="DR211" s="161"/>
      <c r="DS211" s="161"/>
      <c r="DT211" s="161"/>
      <c r="DU211" s="161"/>
      <c r="DV211" s="161"/>
      <c r="DW211" s="161"/>
      <c r="DX211" s="161"/>
      <c r="DY211" s="161"/>
      <c r="DZ211" s="161"/>
      <c r="EA211" s="161"/>
      <c r="EB211" s="161"/>
      <c r="EC211" s="161"/>
      <c r="ED211" s="161"/>
      <c r="EE211" s="161"/>
      <c r="EF211" s="161"/>
      <c r="EG211" s="161"/>
      <c r="EH211" s="161"/>
      <c r="EI211" s="161"/>
      <c r="EJ211" s="161"/>
      <c r="EK211" s="161"/>
      <c r="EL211" s="161"/>
      <c r="EM211" s="161"/>
      <c r="EN211" s="161"/>
      <c r="EO211" s="161"/>
      <c r="EP211" s="161"/>
    </row>
    <row r="212" spans="2:146" s="162" customFormat="1" ht="12" hidden="1" customHeight="1">
      <c r="B212" s="216"/>
      <c r="C212" s="216"/>
      <c r="D212" s="216"/>
      <c r="AC212"/>
      <c r="AD212"/>
      <c r="AE212"/>
      <c r="AF212"/>
      <c r="AG212"/>
      <c r="AH212"/>
      <c r="AI212"/>
      <c r="AJ212"/>
      <c r="AK212" s="161"/>
      <c r="AL212" s="161"/>
      <c r="AM212" s="161"/>
      <c r="AN212" s="161"/>
      <c r="AO212" s="161"/>
      <c r="AP212" s="161"/>
      <c r="AQ212" s="161"/>
      <c r="AR212" s="161"/>
      <c r="AS212" s="161"/>
      <c r="AT212" s="161"/>
      <c r="AU212" s="161"/>
      <c r="AV212" s="161"/>
      <c r="AW212" s="161"/>
      <c r="AX212" s="161"/>
      <c r="AY212" s="161"/>
      <c r="AZ212" s="161"/>
      <c r="BA212" s="161"/>
      <c r="BB212" s="161"/>
      <c r="BC212" s="161"/>
      <c r="BD212" s="161"/>
      <c r="BE212" s="161"/>
      <c r="BF212" s="161"/>
      <c r="BG212" s="161"/>
      <c r="BH212" s="161"/>
      <c r="BI212" s="161"/>
      <c r="BJ212" s="161"/>
      <c r="BK212" s="161"/>
      <c r="BL212" s="161"/>
      <c r="BM212" s="161"/>
      <c r="BN212" s="161"/>
      <c r="BO212" s="161"/>
      <c r="BP212" s="161"/>
      <c r="BQ212" s="161"/>
      <c r="BR212" s="161"/>
      <c r="BS212" s="161"/>
      <c r="BT212" s="161"/>
      <c r="BU212" s="161"/>
      <c r="BV212" s="161"/>
      <c r="BW212" s="161"/>
      <c r="BX212" s="161"/>
      <c r="BY212" s="161"/>
      <c r="BZ212" s="161"/>
      <c r="CA212" s="161"/>
      <c r="CB212" s="161"/>
      <c r="CC212" s="161"/>
      <c r="CD212" s="161"/>
      <c r="CE212" s="161"/>
      <c r="CF212" s="161"/>
      <c r="CG212" s="161"/>
      <c r="CH212" s="161"/>
      <c r="CI212" s="161"/>
      <c r="CJ212" s="161"/>
      <c r="CK212" s="161"/>
      <c r="CL212" s="161"/>
      <c r="CM212" s="161"/>
      <c r="CN212" s="161"/>
      <c r="CO212" s="161"/>
      <c r="CP212" s="161"/>
      <c r="CQ212" s="161"/>
      <c r="CR212" s="161"/>
      <c r="CS212" s="161"/>
      <c r="CT212" s="161"/>
      <c r="CU212" s="161"/>
      <c r="CV212" s="161"/>
      <c r="CW212" s="161"/>
      <c r="CX212" s="161"/>
      <c r="CY212" s="161"/>
      <c r="CZ212" s="161"/>
      <c r="DA212" s="161"/>
      <c r="DB212" s="161"/>
      <c r="DC212" s="161"/>
      <c r="DD212" s="161"/>
      <c r="DE212" s="161"/>
      <c r="DF212" s="161"/>
      <c r="DG212" s="161"/>
      <c r="DH212" s="161"/>
      <c r="DI212" s="161"/>
      <c r="DJ212" s="161"/>
      <c r="DK212" s="161"/>
      <c r="DL212" s="161"/>
      <c r="DM212" s="161"/>
      <c r="DN212" s="161"/>
      <c r="DO212" s="161"/>
      <c r="DP212" s="161"/>
      <c r="DQ212" s="161"/>
      <c r="DR212" s="161"/>
      <c r="DS212" s="161"/>
      <c r="DT212" s="161"/>
      <c r="DU212" s="161"/>
      <c r="DV212" s="161"/>
      <c r="DW212" s="161"/>
      <c r="DX212" s="161"/>
      <c r="DY212" s="161"/>
      <c r="DZ212" s="161"/>
      <c r="EA212" s="161"/>
      <c r="EB212" s="161"/>
      <c r="EC212" s="161"/>
      <c r="ED212" s="161"/>
      <c r="EE212" s="161"/>
      <c r="EF212" s="161"/>
      <c r="EG212" s="161"/>
      <c r="EH212" s="161"/>
      <c r="EI212" s="161"/>
      <c r="EJ212" s="161"/>
      <c r="EK212" s="161"/>
      <c r="EL212" s="161"/>
      <c r="EM212" s="161"/>
      <c r="EN212" s="161"/>
      <c r="EO212" s="161"/>
      <c r="EP212" s="161"/>
    </row>
    <row r="213" spans="2:146" s="162" customFormat="1" ht="12" hidden="1" customHeight="1">
      <c r="B213" s="216"/>
      <c r="C213" s="216"/>
      <c r="D213" s="216"/>
      <c r="AC213"/>
      <c r="AD213"/>
      <c r="AE213"/>
      <c r="AF213"/>
      <c r="AG213"/>
      <c r="AH213"/>
      <c r="AI213"/>
      <c r="AJ213"/>
      <c r="AK213" s="161"/>
      <c r="AL213" s="161"/>
      <c r="AM213" s="161"/>
      <c r="AN213" s="161"/>
      <c r="AO213" s="161"/>
      <c r="AP213" s="161"/>
      <c r="AQ213" s="161"/>
      <c r="AR213" s="161"/>
      <c r="AS213" s="161"/>
      <c r="AT213" s="161"/>
      <c r="AU213" s="161"/>
      <c r="AV213" s="161"/>
      <c r="AW213" s="161"/>
      <c r="AX213" s="161"/>
      <c r="AY213" s="161"/>
      <c r="AZ213" s="161"/>
      <c r="BA213" s="161"/>
      <c r="BB213" s="161"/>
      <c r="BC213" s="161"/>
      <c r="BD213" s="161"/>
      <c r="BE213" s="161"/>
      <c r="BF213" s="161"/>
      <c r="BG213" s="161"/>
      <c r="BH213" s="161"/>
      <c r="BI213" s="161"/>
      <c r="BJ213" s="161"/>
      <c r="BK213" s="161"/>
      <c r="BL213" s="161"/>
      <c r="BM213" s="161"/>
      <c r="BN213" s="161"/>
      <c r="BO213" s="161"/>
      <c r="BP213" s="161"/>
      <c r="BQ213" s="161"/>
      <c r="BR213" s="161"/>
      <c r="BS213" s="161"/>
      <c r="BT213" s="161"/>
      <c r="BU213" s="161"/>
      <c r="BV213" s="161"/>
      <c r="BW213" s="161"/>
      <c r="BX213" s="161"/>
      <c r="BY213" s="161"/>
      <c r="BZ213" s="161"/>
      <c r="CA213" s="161"/>
      <c r="CB213" s="161"/>
      <c r="CC213" s="161"/>
      <c r="CD213" s="161"/>
      <c r="CE213" s="161"/>
      <c r="CF213" s="161"/>
      <c r="CG213" s="161"/>
      <c r="CH213" s="161"/>
      <c r="CI213" s="161"/>
      <c r="CJ213" s="161"/>
      <c r="CK213" s="161"/>
      <c r="CL213" s="161"/>
      <c r="CM213" s="161"/>
      <c r="CN213" s="161"/>
      <c r="CO213" s="161"/>
      <c r="CP213" s="161"/>
      <c r="CQ213" s="161"/>
      <c r="CR213" s="161"/>
      <c r="CS213" s="161"/>
      <c r="CT213" s="161"/>
      <c r="CU213" s="161"/>
      <c r="CV213" s="161"/>
      <c r="CW213" s="161"/>
      <c r="CX213" s="161"/>
      <c r="CY213" s="161"/>
      <c r="CZ213" s="161"/>
      <c r="DA213" s="161"/>
      <c r="DB213" s="161"/>
      <c r="DC213" s="161"/>
      <c r="DD213" s="161"/>
      <c r="DE213" s="161"/>
      <c r="DF213" s="161"/>
      <c r="DG213" s="161"/>
      <c r="DH213" s="161"/>
      <c r="DI213" s="161"/>
      <c r="DJ213" s="161"/>
      <c r="DK213" s="161"/>
      <c r="DL213" s="161"/>
      <c r="DM213" s="161"/>
      <c r="DN213" s="161"/>
      <c r="DO213" s="161"/>
      <c r="DP213" s="161"/>
      <c r="DQ213" s="161"/>
      <c r="DR213" s="161"/>
      <c r="DS213" s="161"/>
      <c r="DT213" s="161"/>
      <c r="DU213" s="161"/>
      <c r="DV213" s="161"/>
      <c r="DW213" s="161"/>
      <c r="DX213" s="161"/>
      <c r="DY213" s="161"/>
      <c r="DZ213" s="161"/>
      <c r="EA213" s="161"/>
      <c r="EB213" s="161"/>
      <c r="EC213" s="161"/>
      <c r="ED213" s="161"/>
      <c r="EE213" s="161"/>
      <c r="EF213" s="161"/>
      <c r="EG213" s="161"/>
      <c r="EH213" s="161"/>
      <c r="EI213" s="161"/>
      <c r="EJ213" s="161"/>
      <c r="EK213" s="161"/>
      <c r="EL213" s="161"/>
      <c r="EM213" s="161"/>
      <c r="EN213" s="161"/>
      <c r="EO213" s="161"/>
      <c r="EP213" s="161"/>
    </row>
    <row r="214" spans="2:146" s="162" customFormat="1" ht="12" hidden="1" customHeight="1">
      <c r="B214" s="216"/>
      <c r="C214" s="216"/>
      <c r="D214" s="216"/>
      <c r="AC214"/>
      <c r="AD214"/>
      <c r="AE214"/>
      <c r="AF214"/>
      <c r="AG214"/>
      <c r="AH214"/>
      <c r="AI214"/>
      <c r="AJ214"/>
      <c r="AK214" s="161"/>
      <c r="AL214" s="161"/>
      <c r="AM214" s="161"/>
      <c r="AN214" s="161"/>
      <c r="AO214" s="161"/>
      <c r="AP214" s="161"/>
      <c r="AQ214" s="161"/>
      <c r="AR214" s="161"/>
      <c r="AS214" s="161"/>
      <c r="AT214" s="161"/>
      <c r="AU214" s="161"/>
      <c r="AV214" s="161"/>
      <c r="AW214" s="161"/>
      <c r="AX214" s="161"/>
      <c r="AY214" s="161"/>
      <c r="AZ214" s="161"/>
      <c r="BA214" s="161"/>
      <c r="BB214" s="161"/>
      <c r="BC214" s="161"/>
      <c r="BD214" s="161"/>
      <c r="BE214" s="161"/>
      <c r="BF214" s="161"/>
      <c r="BG214" s="161"/>
      <c r="BH214" s="161"/>
      <c r="BI214" s="161"/>
      <c r="BJ214" s="161"/>
      <c r="BK214" s="161"/>
      <c r="BL214" s="161"/>
      <c r="BM214" s="161"/>
      <c r="BN214" s="161"/>
      <c r="BO214" s="161"/>
      <c r="BP214" s="161"/>
      <c r="BQ214" s="161"/>
      <c r="BR214" s="161"/>
      <c r="BS214" s="161"/>
      <c r="BT214" s="161"/>
      <c r="BU214" s="161"/>
      <c r="BV214" s="161"/>
      <c r="BW214" s="161"/>
      <c r="BX214" s="161"/>
      <c r="BY214" s="161"/>
      <c r="BZ214" s="161"/>
      <c r="CA214" s="161"/>
      <c r="CB214" s="161"/>
      <c r="CC214" s="161"/>
      <c r="CD214" s="161"/>
      <c r="CE214" s="161"/>
      <c r="CF214" s="161"/>
      <c r="CG214" s="161"/>
      <c r="CH214" s="161"/>
      <c r="CI214" s="161"/>
      <c r="CJ214" s="161"/>
      <c r="CK214" s="161"/>
      <c r="CL214" s="161"/>
      <c r="CM214" s="161"/>
      <c r="CN214" s="161"/>
      <c r="CO214" s="161"/>
      <c r="CP214" s="161"/>
      <c r="CQ214" s="161"/>
      <c r="CR214" s="161"/>
      <c r="CS214" s="161"/>
      <c r="CT214" s="161"/>
      <c r="CU214" s="161"/>
      <c r="CV214" s="161"/>
      <c r="CW214" s="161"/>
      <c r="CX214" s="161"/>
      <c r="CY214" s="161"/>
      <c r="CZ214" s="161"/>
      <c r="DA214" s="161"/>
      <c r="DB214" s="161"/>
      <c r="DC214" s="161"/>
      <c r="DD214" s="161"/>
      <c r="DE214" s="161"/>
      <c r="DF214" s="161"/>
      <c r="DG214" s="161"/>
      <c r="DH214" s="161"/>
      <c r="DI214" s="161"/>
      <c r="DJ214" s="161"/>
      <c r="DK214" s="161"/>
      <c r="DL214" s="161"/>
      <c r="DM214" s="161"/>
      <c r="DN214" s="161"/>
      <c r="DO214" s="161"/>
      <c r="DP214" s="161"/>
      <c r="DQ214" s="161"/>
      <c r="DR214" s="161"/>
      <c r="DS214" s="161"/>
      <c r="DT214" s="161"/>
      <c r="DU214" s="161"/>
      <c r="DV214" s="161"/>
      <c r="DW214" s="161"/>
      <c r="DX214" s="161"/>
      <c r="DY214" s="161"/>
      <c r="DZ214" s="161"/>
      <c r="EA214" s="161"/>
      <c r="EB214" s="161"/>
      <c r="EC214" s="161"/>
      <c r="ED214" s="161"/>
      <c r="EE214" s="161"/>
      <c r="EF214" s="161"/>
      <c r="EG214" s="161"/>
      <c r="EH214" s="161"/>
      <c r="EI214" s="161"/>
      <c r="EJ214" s="161"/>
      <c r="EK214" s="161"/>
      <c r="EL214" s="161"/>
      <c r="EM214" s="161"/>
      <c r="EN214" s="161"/>
      <c r="EO214" s="161"/>
      <c r="EP214" s="161"/>
    </row>
    <row r="215" spans="2:146" s="162" customFormat="1" ht="12" hidden="1" customHeight="1">
      <c r="B215" s="216"/>
      <c r="C215" s="216"/>
      <c r="D215" s="216"/>
      <c r="AC215"/>
      <c r="AD215"/>
      <c r="AE215"/>
      <c r="AF215"/>
      <c r="AG215"/>
      <c r="AH215"/>
      <c r="AI215"/>
      <c r="AJ215"/>
      <c r="AK215" s="161"/>
      <c r="AL215" s="161"/>
      <c r="AM215" s="161"/>
      <c r="AN215" s="161"/>
      <c r="AO215" s="161"/>
      <c r="AP215" s="161"/>
      <c r="AQ215" s="161"/>
      <c r="AR215" s="161"/>
      <c r="AS215" s="161"/>
      <c r="AT215" s="161"/>
      <c r="AU215" s="161"/>
      <c r="AV215" s="161"/>
      <c r="AW215" s="161"/>
      <c r="AX215" s="161"/>
      <c r="AY215" s="161"/>
      <c r="AZ215" s="161"/>
      <c r="BA215" s="161"/>
      <c r="BB215" s="161"/>
      <c r="BC215" s="161"/>
      <c r="BD215" s="161"/>
      <c r="BE215" s="161"/>
      <c r="BF215" s="161"/>
      <c r="BG215" s="161"/>
      <c r="BH215" s="161"/>
      <c r="BI215" s="161"/>
      <c r="BJ215" s="161"/>
      <c r="BK215" s="161"/>
      <c r="BL215" s="161"/>
      <c r="BM215" s="161"/>
      <c r="BN215" s="161"/>
      <c r="BO215" s="161"/>
      <c r="BP215" s="161"/>
      <c r="BQ215" s="161"/>
      <c r="BR215" s="161"/>
      <c r="BS215" s="161"/>
      <c r="BT215" s="161"/>
      <c r="BU215" s="161"/>
      <c r="BV215" s="161"/>
      <c r="BW215" s="161"/>
      <c r="BX215" s="161"/>
      <c r="BY215" s="161"/>
      <c r="BZ215" s="161"/>
      <c r="CA215" s="161"/>
      <c r="CB215" s="161"/>
      <c r="CC215" s="161"/>
      <c r="CD215" s="161"/>
      <c r="CE215" s="161"/>
      <c r="CF215" s="161"/>
      <c r="CG215" s="161"/>
      <c r="CH215" s="161"/>
      <c r="CI215" s="161"/>
      <c r="CJ215" s="161"/>
      <c r="CK215" s="161"/>
      <c r="CL215" s="161"/>
      <c r="CM215" s="161"/>
      <c r="CN215" s="161"/>
      <c r="CO215" s="161"/>
      <c r="CP215" s="161"/>
      <c r="CQ215" s="161"/>
      <c r="CR215" s="161"/>
      <c r="CS215" s="161"/>
      <c r="CT215" s="161"/>
      <c r="CU215" s="161"/>
      <c r="CV215" s="161"/>
      <c r="CW215" s="161"/>
      <c r="CX215" s="161"/>
      <c r="CY215" s="161"/>
      <c r="CZ215" s="161"/>
      <c r="DA215" s="161"/>
      <c r="DB215" s="161"/>
      <c r="DC215" s="161"/>
      <c r="DD215" s="161"/>
      <c r="DE215" s="161"/>
      <c r="DF215" s="161"/>
      <c r="DG215" s="161"/>
      <c r="DH215" s="161"/>
      <c r="DI215" s="161"/>
      <c r="DJ215" s="161"/>
      <c r="DK215" s="161"/>
      <c r="DL215" s="161"/>
      <c r="DM215" s="161"/>
      <c r="DN215" s="161"/>
      <c r="DO215" s="161"/>
      <c r="DP215" s="161"/>
      <c r="DQ215" s="161"/>
      <c r="DR215" s="161"/>
      <c r="DS215" s="161"/>
      <c r="DT215" s="161"/>
      <c r="DU215" s="161"/>
      <c r="DV215" s="161"/>
      <c r="DW215" s="161"/>
      <c r="DX215" s="161"/>
      <c r="DY215" s="161"/>
      <c r="DZ215" s="161"/>
      <c r="EA215" s="161"/>
      <c r="EB215" s="161"/>
      <c r="EC215" s="161"/>
      <c r="ED215" s="161"/>
      <c r="EE215" s="161"/>
      <c r="EF215" s="161"/>
      <c r="EG215" s="161"/>
      <c r="EH215" s="161"/>
      <c r="EI215" s="161"/>
      <c r="EJ215" s="161"/>
      <c r="EK215" s="161"/>
      <c r="EL215" s="161"/>
      <c r="EM215" s="161"/>
      <c r="EN215" s="161"/>
      <c r="EO215" s="161"/>
      <c r="EP215" s="161"/>
    </row>
    <row r="216" spans="2:146" s="162" customFormat="1" ht="12" hidden="1" customHeight="1">
      <c r="B216" s="216"/>
      <c r="C216" s="216"/>
      <c r="D216" s="216"/>
      <c r="AC216"/>
      <c r="AD216"/>
      <c r="AE216"/>
      <c r="AF216"/>
      <c r="AG216"/>
      <c r="AH216"/>
      <c r="AI216"/>
      <c r="AJ216"/>
      <c r="AK216" s="161"/>
      <c r="AL216" s="161"/>
      <c r="AM216" s="161"/>
      <c r="AN216" s="161"/>
      <c r="AO216" s="161"/>
      <c r="AP216" s="161"/>
      <c r="AQ216" s="161"/>
      <c r="AR216" s="161"/>
      <c r="AS216" s="161"/>
      <c r="AT216" s="161"/>
      <c r="AU216" s="161"/>
      <c r="AV216" s="161"/>
      <c r="AW216" s="161"/>
      <c r="AX216" s="161"/>
      <c r="AY216" s="161"/>
      <c r="AZ216" s="161"/>
      <c r="BA216" s="161"/>
      <c r="BB216" s="161"/>
      <c r="BC216" s="161"/>
      <c r="BD216" s="161"/>
      <c r="BE216" s="161"/>
      <c r="BF216" s="161"/>
      <c r="BG216" s="161"/>
      <c r="BH216" s="161"/>
      <c r="BI216" s="161"/>
      <c r="BJ216" s="161"/>
      <c r="BK216" s="161"/>
      <c r="BL216" s="161"/>
      <c r="BM216" s="161"/>
      <c r="BN216" s="161"/>
      <c r="BO216" s="161"/>
      <c r="BP216" s="161"/>
      <c r="BQ216" s="161"/>
      <c r="BR216" s="161"/>
      <c r="BS216" s="161"/>
      <c r="BT216" s="161"/>
      <c r="BU216" s="161"/>
      <c r="BV216" s="161"/>
      <c r="BW216" s="161"/>
      <c r="BX216" s="161"/>
      <c r="BY216" s="161"/>
      <c r="BZ216" s="161"/>
      <c r="CA216" s="161"/>
      <c r="CB216" s="161"/>
      <c r="CC216" s="161"/>
      <c r="CD216" s="161"/>
      <c r="CE216" s="161"/>
      <c r="CF216" s="161"/>
      <c r="CG216" s="161"/>
      <c r="CH216" s="161"/>
      <c r="CI216" s="161"/>
      <c r="CJ216" s="161"/>
      <c r="CK216" s="161"/>
      <c r="CL216" s="161"/>
      <c r="CM216" s="161"/>
      <c r="CN216" s="161"/>
      <c r="CO216" s="161"/>
      <c r="CP216" s="161"/>
      <c r="CQ216" s="161"/>
      <c r="CR216" s="161"/>
      <c r="CS216" s="161"/>
      <c r="CT216" s="161"/>
      <c r="CU216" s="161"/>
      <c r="CV216" s="161"/>
      <c r="CW216" s="161"/>
      <c r="CX216" s="161"/>
      <c r="CY216" s="161"/>
      <c r="CZ216" s="161"/>
      <c r="DA216" s="161"/>
      <c r="DB216" s="161"/>
      <c r="DC216" s="161"/>
      <c r="DD216" s="161"/>
      <c r="DE216" s="161"/>
      <c r="DF216" s="161"/>
      <c r="DG216" s="161"/>
      <c r="DH216" s="161"/>
      <c r="DI216" s="161"/>
      <c r="DJ216" s="161"/>
      <c r="DK216" s="161"/>
      <c r="DL216" s="161"/>
      <c r="DM216" s="161"/>
      <c r="DN216" s="161"/>
      <c r="DO216" s="161"/>
      <c r="DP216" s="161"/>
      <c r="DQ216" s="161"/>
      <c r="DR216" s="161"/>
      <c r="DS216" s="161"/>
      <c r="DT216" s="161"/>
      <c r="DU216" s="161"/>
      <c r="DV216" s="161"/>
      <c r="DW216" s="161"/>
      <c r="DX216" s="161"/>
      <c r="DY216" s="161"/>
      <c r="DZ216" s="161"/>
      <c r="EA216" s="161"/>
      <c r="EB216" s="161"/>
      <c r="EC216" s="161"/>
      <c r="ED216" s="161"/>
      <c r="EE216" s="161"/>
      <c r="EF216" s="161"/>
      <c r="EG216" s="161"/>
      <c r="EH216" s="161"/>
      <c r="EI216" s="161"/>
      <c r="EJ216" s="161"/>
      <c r="EK216" s="161"/>
      <c r="EL216" s="161"/>
      <c r="EM216" s="161"/>
      <c r="EN216" s="161"/>
      <c r="EO216" s="161"/>
      <c r="EP216" s="161"/>
    </row>
    <row r="217" spans="2:146" s="162" customFormat="1" ht="12" hidden="1" customHeight="1">
      <c r="B217" s="216"/>
      <c r="C217" s="216"/>
      <c r="D217" s="216"/>
      <c r="AC217"/>
      <c r="AD217"/>
      <c r="AE217"/>
      <c r="AF217"/>
      <c r="AG217"/>
      <c r="AH217"/>
      <c r="AI217"/>
      <c r="AJ217"/>
      <c r="AK217" s="161"/>
      <c r="AL217" s="161"/>
      <c r="AM217" s="161"/>
      <c r="AN217" s="161"/>
      <c r="AO217" s="161"/>
      <c r="AP217" s="161"/>
      <c r="AQ217" s="161"/>
      <c r="AR217" s="161"/>
      <c r="AS217" s="161"/>
      <c r="AT217" s="161"/>
      <c r="AU217" s="161"/>
      <c r="AV217" s="161"/>
      <c r="AW217" s="161"/>
      <c r="AX217" s="161"/>
      <c r="AY217" s="161"/>
      <c r="AZ217" s="161"/>
      <c r="BA217" s="161"/>
      <c r="BB217" s="161"/>
      <c r="BC217" s="161"/>
      <c r="BD217" s="161"/>
      <c r="BE217" s="161"/>
      <c r="BF217" s="161"/>
      <c r="BG217" s="161"/>
      <c r="BH217" s="161"/>
      <c r="BI217" s="161"/>
      <c r="BJ217" s="161"/>
      <c r="BK217" s="161"/>
      <c r="BL217" s="161"/>
      <c r="BM217" s="161"/>
      <c r="BN217" s="161"/>
      <c r="BO217" s="161"/>
      <c r="BP217" s="161"/>
      <c r="BQ217" s="161"/>
      <c r="BR217" s="161"/>
      <c r="BS217" s="161"/>
      <c r="BT217" s="161"/>
      <c r="BU217" s="161"/>
      <c r="BV217" s="161"/>
      <c r="BW217" s="161"/>
      <c r="BX217" s="161"/>
      <c r="BY217" s="161"/>
      <c r="BZ217" s="161"/>
      <c r="CA217" s="161"/>
      <c r="CB217" s="161"/>
      <c r="CC217" s="161"/>
      <c r="CD217" s="161"/>
      <c r="CE217" s="161"/>
      <c r="CF217" s="161"/>
      <c r="CG217" s="161"/>
      <c r="CH217" s="161"/>
      <c r="CI217" s="161"/>
      <c r="CJ217" s="161"/>
      <c r="CK217" s="161"/>
      <c r="CL217" s="161"/>
      <c r="CM217" s="161"/>
      <c r="CN217" s="161"/>
      <c r="CO217" s="161"/>
      <c r="CP217" s="161"/>
      <c r="CQ217" s="161"/>
      <c r="CR217" s="161"/>
      <c r="CS217" s="161"/>
      <c r="CT217" s="161"/>
      <c r="CU217" s="161"/>
      <c r="CV217" s="161"/>
      <c r="CW217" s="161"/>
      <c r="CX217" s="161"/>
      <c r="CY217" s="161"/>
      <c r="CZ217" s="161"/>
      <c r="DA217" s="161"/>
      <c r="DB217" s="161"/>
      <c r="DC217" s="161"/>
      <c r="DD217" s="161"/>
      <c r="DE217" s="161"/>
      <c r="DF217" s="161"/>
      <c r="DG217" s="161"/>
      <c r="DH217" s="161"/>
      <c r="DI217" s="161"/>
      <c r="DJ217" s="161"/>
      <c r="DK217" s="161"/>
      <c r="DL217" s="161"/>
      <c r="DM217" s="161"/>
      <c r="DN217" s="161"/>
      <c r="DO217" s="161"/>
      <c r="DP217" s="161"/>
      <c r="DQ217" s="161"/>
      <c r="DR217" s="161"/>
      <c r="DS217" s="161"/>
      <c r="DT217" s="161"/>
      <c r="DU217" s="161"/>
      <c r="DV217" s="161"/>
      <c r="DW217" s="161"/>
      <c r="DX217" s="161"/>
      <c r="DY217" s="161"/>
      <c r="DZ217" s="161"/>
      <c r="EA217" s="161"/>
      <c r="EB217" s="161"/>
      <c r="EC217" s="161"/>
      <c r="ED217" s="161"/>
      <c r="EE217" s="161"/>
      <c r="EF217" s="161"/>
      <c r="EG217" s="161"/>
      <c r="EH217" s="161"/>
      <c r="EI217" s="161"/>
      <c r="EJ217" s="161"/>
      <c r="EK217" s="161"/>
      <c r="EL217" s="161"/>
      <c r="EM217" s="161"/>
      <c r="EN217" s="161"/>
      <c r="EO217" s="161"/>
      <c r="EP217" s="161"/>
    </row>
    <row r="218" spans="2:146" s="162" customFormat="1" ht="12" hidden="1" customHeight="1">
      <c r="B218" s="216"/>
      <c r="C218" s="216"/>
      <c r="D218" s="216"/>
      <c r="AC218"/>
      <c r="AD218"/>
      <c r="AE218"/>
      <c r="AF218"/>
      <c r="AG218"/>
      <c r="AH218"/>
      <c r="AI218"/>
      <c r="AJ218"/>
      <c r="AK218" s="161"/>
      <c r="AL218" s="161"/>
      <c r="AM218" s="161"/>
      <c r="AN218" s="161"/>
      <c r="AO218" s="161"/>
      <c r="AP218" s="161"/>
      <c r="AQ218" s="161"/>
      <c r="AR218" s="161"/>
      <c r="AS218" s="161"/>
      <c r="AT218" s="161"/>
      <c r="AU218" s="161"/>
      <c r="AV218" s="161"/>
      <c r="AW218" s="161"/>
      <c r="AX218" s="161"/>
      <c r="AY218" s="161"/>
      <c r="AZ218" s="161"/>
      <c r="BA218" s="161"/>
      <c r="BB218" s="161"/>
      <c r="BC218" s="161"/>
      <c r="BD218" s="161"/>
      <c r="BE218" s="161"/>
      <c r="BF218" s="161"/>
      <c r="BG218" s="161"/>
      <c r="BH218" s="161"/>
      <c r="BI218" s="161"/>
      <c r="BJ218" s="161"/>
      <c r="BK218" s="161"/>
      <c r="BL218" s="161"/>
      <c r="BM218" s="161"/>
      <c r="BN218" s="161"/>
      <c r="BO218" s="161"/>
      <c r="BP218" s="161"/>
      <c r="BQ218" s="161"/>
      <c r="BR218" s="161"/>
      <c r="BS218" s="161"/>
      <c r="BT218" s="161"/>
      <c r="BU218" s="161"/>
      <c r="BV218" s="161"/>
      <c r="BW218" s="161"/>
      <c r="BX218" s="161"/>
      <c r="BY218" s="161"/>
      <c r="BZ218" s="161"/>
      <c r="CA218" s="161"/>
      <c r="CB218" s="161"/>
      <c r="CC218" s="161"/>
      <c r="CD218" s="161"/>
      <c r="CE218" s="161"/>
      <c r="CF218" s="161"/>
      <c r="CG218" s="161"/>
      <c r="CH218" s="161"/>
      <c r="CI218" s="161"/>
      <c r="CJ218" s="161"/>
      <c r="CK218" s="161"/>
      <c r="CL218" s="161"/>
      <c r="CM218" s="161"/>
      <c r="CN218" s="161"/>
      <c r="CO218" s="161"/>
      <c r="CP218" s="161"/>
      <c r="CQ218" s="161"/>
      <c r="CR218" s="161"/>
      <c r="CS218" s="161"/>
      <c r="CT218" s="161"/>
      <c r="CU218" s="161"/>
      <c r="CV218" s="161"/>
      <c r="CW218" s="161"/>
      <c r="CX218" s="161"/>
      <c r="CY218" s="161"/>
      <c r="CZ218" s="161"/>
      <c r="DA218" s="161"/>
      <c r="DB218" s="161"/>
      <c r="DC218" s="161"/>
      <c r="DD218" s="161"/>
      <c r="DE218" s="161"/>
      <c r="DF218" s="161"/>
      <c r="DG218" s="161"/>
      <c r="DH218" s="161"/>
      <c r="DI218" s="161"/>
      <c r="DJ218" s="161"/>
      <c r="DK218" s="161"/>
      <c r="DL218" s="161"/>
      <c r="DM218" s="161"/>
      <c r="DN218" s="161"/>
      <c r="DO218" s="161"/>
      <c r="DP218" s="161"/>
      <c r="DQ218" s="161"/>
      <c r="DR218" s="161"/>
      <c r="DS218" s="161"/>
      <c r="DT218" s="161"/>
      <c r="DU218" s="161"/>
      <c r="DV218" s="161"/>
      <c r="DW218" s="161"/>
      <c r="DX218" s="161"/>
      <c r="DY218" s="161"/>
      <c r="DZ218" s="161"/>
      <c r="EA218" s="161"/>
      <c r="EB218" s="161"/>
      <c r="EC218" s="161"/>
      <c r="ED218" s="161"/>
      <c r="EE218" s="161"/>
      <c r="EF218" s="161"/>
      <c r="EG218" s="161"/>
      <c r="EH218" s="161"/>
      <c r="EI218" s="161"/>
      <c r="EJ218" s="161"/>
      <c r="EK218" s="161"/>
      <c r="EL218" s="161"/>
      <c r="EM218" s="161"/>
      <c r="EN218" s="161"/>
      <c r="EO218" s="161"/>
      <c r="EP218" s="161"/>
    </row>
    <row r="219" spans="2:146" s="162" customFormat="1" ht="12" hidden="1" customHeight="1">
      <c r="B219" s="216"/>
      <c r="C219" s="216"/>
      <c r="D219" s="216"/>
      <c r="AC219"/>
      <c r="AD219"/>
      <c r="AE219"/>
      <c r="AF219"/>
      <c r="AG219"/>
      <c r="AH219"/>
      <c r="AI219"/>
      <c r="AJ219"/>
      <c r="AK219" s="161"/>
      <c r="AL219" s="161"/>
      <c r="AM219" s="161"/>
      <c r="AN219" s="161"/>
      <c r="AO219" s="161"/>
      <c r="AP219" s="161"/>
      <c r="AQ219" s="161"/>
      <c r="AR219" s="161"/>
      <c r="AS219" s="161"/>
      <c r="AT219" s="161"/>
      <c r="AU219" s="161"/>
      <c r="AV219" s="161"/>
      <c r="AW219" s="161"/>
      <c r="AX219" s="161"/>
      <c r="AY219" s="161"/>
      <c r="AZ219" s="161"/>
      <c r="BA219" s="161"/>
      <c r="BB219" s="161"/>
      <c r="BC219" s="161"/>
      <c r="BD219" s="161"/>
      <c r="BE219" s="161"/>
      <c r="BF219" s="161"/>
      <c r="BG219" s="161"/>
      <c r="BH219" s="161"/>
      <c r="BI219" s="161"/>
      <c r="BJ219" s="161"/>
      <c r="BK219" s="161"/>
      <c r="BL219" s="161"/>
      <c r="BM219" s="161"/>
      <c r="BN219" s="161"/>
      <c r="BO219" s="161"/>
      <c r="BP219" s="161"/>
      <c r="BQ219" s="161"/>
      <c r="BR219" s="161"/>
      <c r="BS219" s="161"/>
      <c r="BT219" s="161"/>
      <c r="BU219" s="161"/>
      <c r="BV219" s="161"/>
      <c r="BW219" s="161"/>
      <c r="BX219" s="161"/>
      <c r="BY219" s="161"/>
      <c r="BZ219" s="161"/>
      <c r="CA219" s="161"/>
      <c r="CB219" s="161"/>
      <c r="CC219" s="161"/>
      <c r="CD219" s="161"/>
      <c r="CE219" s="161"/>
      <c r="CF219" s="161"/>
      <c r="CG219" s="161"/>
      <c r="CH219" s="161"/>
      <c r="CI219" s="161"/>
      <c r="CJ219" s="161"/>
      <c r="CK219" s="161"/>
      <c r="CL219" s="161"/>
      <c r="CM219" s="161"/>
      <c r="CN219" s="161"/>
      <c r="CO219" s="161"/>
      <c r="CP219" s="161"/>
      <c r="CQ219" s="161"/>
      <c r="CR219" s="161"/>
      <c r="CS219" s="161"/>
      <c r="CT219" s="161"/>
      <c r="CU219" s="161"/>
      <c r="CV219" s="161"/>
      <c r="CW219" s="161"/>
      <c r="CX219" s="161"/>
      <c r="CY219" s="161"/>
      <c r="CZ219" s="161"/>
      <c r="DA219" s="161"/>
      <c r="DB219" s="161"/>
      <c r="DC219" s="161"/>
      <c r="DD219" s="161"/>
      <c r="DE219" s="161"/>
      <c r="DF219" s="161"/>
      <c r="DG219" s="161"/>
      <c r="DH219" s="161"/>
      <c r="DI219" s="161"/>
      <c r="DJ219" s="161"/>
      <c r="DK219" s="161"/>
      <c r="DL219" s="161"/>
      <c r="DM219" s="161"/>
      <c r="DN219" s="161"/>
      <c r="DO219" s="161"/>
      <c r="DP219" s="161"/>
      <c r="DQ219" s="161"/>
      <c r="DR219" s="161"/>
      <c r="DS219" s="161"/>
      <c r="DT219" s="161"/>
      <c r="DU219" s="161"/>
      <c r="DV219" s="161"/>
      <c r="DW219" s="161"/>
      <c r="DX219" s="161"/>
      <c r="DY219" s="161"/>
      <c r="DZ219" s="161"/>
      <c r="EA219" s="161"/>
      <c r="EB219" s="161"/>
      <c r="EC219" s="161"/>
      <c r="ED219" s="161"/>
      <c r="EE219" s="161"/>
      <c r="EF219" s="161"/>
      <c r="EG219" s="161"/>
      <c r="EH219" s="161"/>
      <c r="EI219" s="161"/>
      <c r="EJ219" s="161"/>
      <c r="EK219" s="161"/>
      <c r="EL219" s="161"/>
      <c r="EM219" s="161"/>
      <c r="EN219" s="161"/>
      <c r="EO219" s="161"/>
      <c r="EP219" s="161"/>
    </row>
    <row r="220" spans="2:146" s="162" customFormat="1" ht="12" hidden="1" customHeight="1">
      <c r="B220" s="216"/>
      <c r="C220" s="216"/>
      <c r="D220" s="216"/>
      <c r="AC220"/>
      <c r="AD220"/>
      <c r="AE220"/>
      <c r="AF220"/>
      <c r="AG220"/>
      <c r="AH220"/>
      <c r="AI220"/>
      <c r="AJ220"/>
      <c r="AK220" s="161"/>
      <c r="AL220" s="161"/>
      <c r="AM220" s="161"/>
      <c r="AN220" s="161"/>
      <c r="AO220" s="161"/>
      <c r="AP220" s="161"/>
      <c r="AQ220" s="161"/>
      <c r="AR220" s="161"/>
      <c r="AS220" s="161"/>
      <c r="AT220" s="161"/>
      <c r="AU220" s="161"/>
      <c r="AV220" s="161"/>
      <c r="AW220" s="161"/>
      <c r="AX220" s="161"/>
      <c r="AY220" s="161"/>
      <c r="AZ220" s="161"/>
      <c r="BA220" s="161"/>
      <c r="BB220" s="161"/>
      <c r="BC220" s="161"/>
      <c r="BD220" s="161"/>
      <c r="BE220" s="161"/>
      <c r="BF220" s="161"/>
      <c r="BG220" s="161"/>
      <c r="BH220" s="161"/>
      <c r="BI220" s="161"/>
      <c r="BJ220" s="161"/>
      <c r="BK220" s="161"/>
      <c r="BL220" s="161"/>
      <c r="BM220" s="161"/>
      <c r="BN220" s="161"/>
      <c r="BO220" s="161"/>
      <c r="BP220" s="161"/>
      <c r="BQ220" s="161"/>
      <c r="BR220" s="161"/>
      <c r="BS220" s="161"/>
      <c r="BT220" s="161"/>
      <c r="BU220" s="161"/>
      <c r="BV220" s="161"/>
      <c r="BW220" s="161"/>
      <c r="BX220" s="161"/>
      <c r="BY220" s="161"/>
      <c r="BZ220" s="161"/>
      <c r="CA220" s="161"/>
      <c r="CB220" s="161"/>
      <c r="CC220" s="161"/>
      <c r="CD220" s="161"/>
      <c r="CE220" s="161"/>
      <c r="CF220" s="161"/>
      <c r="CG220" s="161"/>
      <c r="CH220" s="161"/>
      <c r="CI220" s="161"/>
      <c r="CJ220" s="161"/>
      <c r="CK220" s="161"/>
      <c r="CL220" s="161"/>
      <c r="CM220" s="161"/>
      <c r="CN220" s="161"/>
      <c r="CO220" s="161"/>
      <c r="CP220" s="161"/>
      <c r="CQ220" s="161"/>
      <c r="CR220" s="161"/>
      <c r="CS220" s="161"/>
      <c r="CT220" s="161"/>
      <c r="CU220" s="161"/>
      <c r="CV220" s="161"/>
      <c r="CW220" s="161"/>
      <c r="CX220" s="161"/>
      <c r="CY220" s="161"/>
      <c r="CZ220" s="161"/>
      <c r="DA220" s="161"/>
      <c r="DB220" s="161"/>
      <c r="DC220" s="161"/>
      <c r="DD220" s="161"/>
      <c r="DE220" s="161"/>
      <c r="DF220" s="161"/>
      <c r="DG220" s="161"/>
      <c r="DH220" s="161"/>
      <c r="DI220" s="161"/>
      <c r="DJ220" s="161"/>
      <c r="DK220" s="161"/>
      <c r="DL220" s="161"/>
      <c r="DM220" s="161"/>
      <c r="DN220" s="161"/>
      <c r="DO220" s="161"/>
      <c r="DP220" s="161"/>
      <c r="DQ220" s="161"/>
      <c r="DR220" s="161"/>
      <c r="DS220" s="161"/>
      <c r="DT220" s="161"/>
      <c r="DU220" s="161"/>
      <c r="DV220" s="161"/>
      <c r="DW220" s="161"/>
      <c r="DX220" s="161"/>
      <c r="DY220" s="161"/>
      <c r="DZ220" s="161"/>
      <c r="EA220" s="161"/>
      <c r="EB220" s="161"/>
      <c r="EC220" s="161"/>
      <c r="ED220" s="161"/>
      <c r="EE220" s="161"/>
      <c r="EF220" s="161"/>
      <c r="EG220" s="161"/>
      <c r="EH220" s="161"/>
      <c r="EI220" s="161"/>
      <c r="EJ220" s="161"/>
      <c r="EK220" s="161"/>
      <c r="EL220" s="161"/>
      <c r="EM220" s="161"/>
      <c r="EN220" s="161"/>
      <c r="EO220" s="161"/>
      <c r="EP220" s="161"/>
    </row>
    <row r="221" spans="2:146" s="162" customFormat="1" ht="12" hidden="1" customHeight="1">
      <c r="B221" s="216"/>
      <c r="C221" s="216"/>
      <c r="D221" s="216"/>
      <c r="AC221"/>
      <c r="AD221"/>
      <c r="AE221"/>
      <c r="AF221"/>
      <c r="AG221"/>
      <c r="AH221"/>
      <c r="AI221"/>
      <c r="AJ221"/>
      <c r="AK221" s="161"/>
      <c r="AL221" s="161"/>
      <c r="AM221" s="161"/>
      <c r="AN221" s="161"/>
      <c r="AO221" s="161"/>
      <c r="AP221" s="161"/>
      <c r="AQ221" s="161"/>
      <c r="AR221" s="161"/>
      <c r="AS221" s="161"/>
      <c r="AT221" s="161"/>
      <c r="AU221" s="161"/>
      <c r="AV221" s="161"/>
      <c r="AW221" s="161"/>
      <c r="AX221" s="161"/>
      <c r="AY221" s="161"/>
      <c r="AZ221" s="161"/>
      <c r="BA221" s="161"/>
      <c r="BB221" s="161"/>
      <c r="BC221" s="161"/>
      <c r="BD221" s="161"/>
      <c r="BE221" s="161"/>
      <c r="BF221" s="161"/>
      <c r="BG221" s="161"/>
      <c r="BH221" s="161"/>
      <c r="BI221" s="161"/>
      <c r="BJ221" s="161"/>
      <c r="BK221" s="161"/>
      <c r="BL221" s="161"/>
      <c r="BM221" s="161"/>
      <c r="BN221" s="161"/>
      <c r="BO221" s="161"/>
      <c r="BP221" s="161"/>
      <c r="BQ221" s="161"/>
      <c r="BR221" s="161"/>
      <c r="BS221" s="161"/>
      <c r="BT221" s="161"/>
      <c r="BU221" s="161"/>
      <c r="BV221" s="161"/>
      <c r="BW221" s="161"/>
      <c r="BX221" s="161"/>
      <c r="BY221" s="161"/>
      <c r="BZ221" s="161"/>
      <c r="CA221" s="161"/>
      <c r="CB221" s="161"/>
      <c r="CC221" s="161"/>
      <c r="CD221" s="161"/>
      <c r="CE221" s="161"/>
      <c r="CF221" s="161"/>
      <c r="CG221" s="161"/>
      <c r="CH221" s="161"/>
      <c r="CI221" s="161"/>
      <c r="CJ221" s="161"/>
      <c r="CK221" s="161"/>
      <c r="CL221" s="161"/>
      <c r="CM221" s="161"/>
      <c r="CN221" s="161"/>
      <c r="CO221" s="161"/>
      <c r="CP221" s="161"/>
      <c r="CQ221" s="161"/>
      <c r="CR221" s="161"/>
      <c r="CS221" s="161"/>
      <c r="CT221" s="161"/>
      <c r="CU221" s="161"/>
      <c r="CV221" s="161"/>
      <c r="CW221" s="161"/>
      <c r="CX221" s="161"/>
      <c r="CY221" s="161"/>
      <c r="CZ221" s="161"/>
      <c r="DA221" s="161"/>
      <c r="DB221" s="161"/>
      <c r="DC221" s="161"/>
      <c r="DD221" s="161"/>
      <c r="DE221" s="161"/>
      <c r="DF221" s="161"/>
      <c r="DG221" s="161"/>
      <c r="DH221" s="161"/>
      <c r="DI221" s="161"/>
      <c r="DJ221" s="161"/>
      <c r="DK221" s="161"/>
      <c r="DL221" s="161"/>
      <c r="DM221" s="161"/>
      <c r="DN221" s="161"/>
      <c r="DO221" s="161"/>
      <c r="DP221" s="161"/>
      <c r="DQ221" s="161"/>
      <c r="DR221" s="161"/>
      <c r="DS221" s="161"/>
      <c r="DT221" s="161"/>
      <c r="DU221" s="161"/>
      <c r="DV221" s="161"/>
      <c r="DW221" s="161"/>
      <c r="DX221" s="161"/>
      <c r="DY221" s="161"/>
      <c r="DZ221" s="161"/>
      <c r="EA221" s="161"/>
      <c r="EB221" s="161"/>
      <c r="EC221" s="161"/>
      <c r="ED221" s="161"/>
      <c r="EE221" s="161"/>
      <c r="EF221" s="161"/>
      <c r="EG221" s="161"/>
      <c r="EH221" s="161"/>
      <c r="EI221" s="161"/>
      <c r="EJ221" s="161"/>
      <c r="EK221" s="161"/>
      <c r="EL221" s="161"/>
      <c r="EM221" s="161"/>
      <c r="EN221" s="161"/>
      <c r="EO221" s="161"/>
      <c r="EP221" s="161"/>
    </row>
    <row r="222" spans="2:146" s="162" customFormat="1" ht="12" hidden="1" customHeight="1">
      <c r="B222" s="216"/>
      <c r="C222" s="216"/>
      <c r="D222" s="216"/>
      <c r="AC222"/>
      <c r="AD222"/>
      <c r="AE222"/>
      <c r="AF222"/>
      <c r="AG222"/>
      <c r="AH222"/>
      <c r="AI222"/>
      <c r="AJ222"/>
      <c r="AK222" s="161"/>
      <c r="AL222" s="161"/>
      <c r="AM222" s="161"/>
      <c r="AN222" s="161"/>
      <c r="AO222" s="161"/>
      <c r="AP222" s="161"/>
      <c r="AQ222" s="161"/>
      <c r="AR222" s="161"/>
      <c r="AS222" s="161"/>
      <c r="AT222" s="161"/>
      <c r="AU222" s="161"/>
      <c r="AV222" s="161"/>
      <c r="AW222" s="161"/>
      <c r="AX222" s="161"/>
      <c r="AY222" s="161"/>
      <c r="AZ222" s="161"/>
      <c r="BA222" s="161"/>
      <c r="BB222" s="161"/>
      <c r="BC222" s="161"/>
      <c r="BD222" s="161"/>
      <c r="BE222" s="161"/>
      <c r="BF222" s="161"/>
      <c r="BG222" s="161"/>
      <c r="BH222" s="161"/>
      <c r="BI222" s="161"/>
      <c r="BJ222" s="161"/>
      <c r="BK222" s="161"/>
      <c r="BL222" s="161"/>
      <c r="BM222" s="161"/>
      <c r="BN222" s="161"/>
      <c r="BO222" s="161"/>
      <c r="BP222" s="161"/>
      <c r="BQ222" s="161"/>
      <c r="BR222" s="161"/>
      <c r="BS222" s="161"/>
      <c r="BT222" s="161"/>
      <c r="BU222" s="161"/>
      <c r="BV222" s="161"/>
      <c r="BW222" s="161"/>
      <c r="BX222" s="161"/>
      <c r="BY222" s="161"/>
      <c r="BZ222" s="161"/>
      <c r="CA222" s="161"/>
      <c r="CB222" s="161"/>
      <c r="CC222" s="161"/>
      <c r="CD222" s="161"/>
      <c r="CE222" s="161"/>
      <c r="CF222" s="161"/>
      <c r="CG222" s="161"/>
      <c r="CH222" s="161"/>
      <c r="CI222" s="161"/>
      <c r="CJ222" s="161"/>
      <c r="CK222" s="161"/>
      <c r="CL222" s="161"/>
      <c r="CM222" s="161"/>
      <c r="CN222" s="161"/>
      <c r="CO222" s="161"/>
      <c r="CP222" s="161"/>
      <c r="CQ222" s="161"/>
      <c r="CR222" s="161"/>
      <c r="CS222" s="161"/>
      <c r="CT222" s="161"/>
      <c r="CU222" s="161"/>
      <c r="CV222" s="161"/>
      <c r="CW222" s="161"/>
      <c r="CX222" s="161"/>
      <c r="CY222" s="161"/>
      <c r="CZ222" s="161"/>
      <c r="DA222" s="161"/>
      <c r="DB222" s="161"/>
      <c r="DC222" s="161"/>
      <c r="DD222" s="161"/>
      <c r="DE222" s="161"/>
      <c r="DF222" s="161"/>
      <c r="DG222" s="161"/>
      <c r="DH222" s="161"/>
      <c r="DI222" s="161"/>
      <c r="DJ222" s="161"/>
      <c r="DK222" s="161"/>
      <c r="DL222" s="161"/>
      <c r="DM222" s="161"/>
      <c r="DN222" s="161"/>
      <c r="DO222" s="161"/>
      <c r="DP222" s="161"/>
      <c r="DQ222" s="161"/>
      <c r="DR222" s="161"/>
      <c r="DS222" s="161"/>
      <c r="DT222" s="161"/>
      <c r="DU222" s="161"/>
      <c r="DV222" s="161"/>
      <c r="DW222" s="161"/>
      <c r="DX222" s="161"/>
      <c r="DY222" s="161"/>
      <c r="DZ222" s="161"/>
      <c r="EA222" s="161"/>
      <c r="EB222" s="161"/>
      <c r="EC222" s="161"/>
      <c r="ED222" s="161"/>
      <c r="EE222" s="161"/>
      <c r="EF222" s="161"/>
      <c r="EG222" s="161"/>
      <c r="EH222" s="161"/>
      <c r="EI222" s="161"/>
      <c r="EJ222" s="161"/>
      <c r="EK222" s="161"/>
      <c r="EL222" s="161"/>
      <c r="EM222" s="161"/>
      <c r="EN222" s="161"/>
      <c r="EO222" s="161"/>
      <c r="EP222" s="161"/>
    </row>
    <row r="223" spans="2:146" s="162" customFormat="1" ht="12" hidden="1" customHeight="1">
      <c r="B223" s="216"/>
      <c r="C223" s="216"/>
      <c r="D223" s="216"/>
      <c r="AC223"/>
      <c r="AD223"/>
      <c r="AE223"/>
      <c r="AF223"/>
      <c r="AG223"/>
      <c r="AH223"/>
      <c r="AI223"/>
      <c r="AJ223"/>
      <c r="AK223" s="161"/>
      <c r="AL223" s="161"/>
      <c r="AM223" s="161"/>
      <c r="AN223" s="161"/>
      <c r="AO223" s="161"/>
      <c r="AP223" s="161"/>
      <c r="AQ223" s="161"/>
      <c r="AR223" s="161"/>
      <c r="AS223" s="161"/>
      <c r="AT223" s="161"/>
      <c r="AU223" s="161"/>
      <c r="AV223" s="161"/>
      <c r="AW223" s="161"/>
      <c r="AX223" s="161"/>
      <c r="AY223" s="161"/>
      <c r="AZ223" s="161"/>
      <c r="BA223" s="161"/>
      <c r="BB223" s="161"/>
      <c r="BC223" s="161"/>
      <c r="BD223" s="161"/>
      <c r="BE223" s="161"/>
      <c r="BF223" s="161"/>
      <c r="BG223" s="161"/>
      <c r="BH223" s="161"/>
      <c r="BI223" s="161"/>
      <c r="BJ223" s="161"/>
      <c r="BK223" s="161"/>
      <c r="BL223" s="161"/>
      <c r="BM223" s="161"/>
      <c r="BN223" s="161"/>
      <c r="BO223" s="161"/>
      <c r="BP223" s="161"/>
      <c r="BQ223" s="161"/>
      <c r="BR223" s="161"/>
      <c r="BS223" s="161"/>
      <c r="BT223" s="161"/>
      <c r="BU223" s="161"/>
      <c r="BV223" s="161"/>
      <c r="BW223" s="161"/>
      <c r="BX223" s="161"/>
      <c r="BY223" s="161"/>
      <c r="BZ223" s="161"/>
      <c r="CA223" s="161"/>
      <c r="CB223" s="161"/>
      <c r="CC223" s="161"/>
      <c r="CD223" s="161"/>
      <c r="CE223" s="161"/>
      <c r="CF223" s="161"/>
      <c r="CG223" s="161"/>
      <c r="CH223" s="161"/>
      <c r="CI223" s="161"/>
      <c r="CJ223" s="161"/>
      <c r="CK223" s="161"/>
      <c r="CL223" s="161"/>
      <c r="CM223" s="161"/>
      <c r="CN223" s="161"/>
      <c r="CO223" s="161"/>
      <c r="CP223" s="161"/>
      <c r="CQ223" s="161"/>
      <c r="CR223" s="161"/>
      <c r="CS223" s="161"/>
      <c r="CT223" s="161"/>
      <c r="CU223" s="161"/>
      <c r="CV223" s="161"/>
      <c r="CW223" s="161"/>
      <c r="CX223" s="161"/>
      <c r="CY223" s="161"/>
      <c r="CZ223" s="161"/>
      <c r="DA223" s="161"/>
      <c r="DB223" s="161"/>
      <c r="DC223" s="161"/>
      <c r="DD223" s="161"/>
      <c r="DE223" s="161"/>
      <c r="DF223" s="161"/>
      <c r="DG223" s="161"/>
      <c r="DH223" s="161"/>
      <c r="DI223" s="161"/>
      <c r="DJ223" s="161"/>
      <c r="DK223" s="161"/>
      <c r="DL223" s="161"/>
      <c r="DM223" s="161"/>
      <c r="DN223" s="161"/>
      <c r="DO223" s="161"/>
      <c r="DP223" s="161"/>
      <c r="DQ223" s="161"/>
      <c r="DR223" s="161"/>
      <c r="DS223" s="161"/>
      <c r="DT223" s="161"/>
      <c r="DU223" s="161"/>
      <c r="DV223" s="161"/>
      <c r="DW223" s="161"/>
      <c r="DX223" s="161"/>
      <c r="DY223" s="161"/>
      <c r="DZ223" s="161"/>
      <c r="EA223" s="161"/>
      <c r="EB223" s="161"/>
      <c r="EC223" s="161"/>
      <c r="ED223" s="161"/>
      <c r="EE223" s="161"/>
      <c r="EF223" s="161"/>
      <c r="EG223" s="161"/>
      <c r="EH223" s="161"/>
      <c r="EI223" s="161"/>
      <c r="EJ223" s="161"/>
      <c r="EK223" s="161"/>
      <c r="EL223" s="161"/>
      <c r="EM223" s="161"/>
      <c r="EN223" s="161"/>
      <c r="EO223" s="161"/>
      <c r="EP223" s="161"/>
    </row>
    <row r="224" spans="2:146" s="162" customFormat="1" ht="12" hidden="1" customHeight="1">
      <c r="B224" s="216"/>
      <c r="C224" s="216"/>
      <c r="D224" s="216"/>
      <c r="AC224"/>
      <c r="AD224"/>
      <c r="AE224"/>
      <c r="AF224"/>
      <c r="AG224"/>
      <c r="AH224"/>
      <c r="AI224"/>
      <c r="AJ224"/>
      <c r="AK224" s="161"/>
      <c r="AL224" s="161"/>
      <c r="AM224" s="161"/>
      <c r="AN224" s="161"/>
      <c r="AO224" s="161"/>
      <c r="AP224" s="161"/>
      <c r="AQ224" s="161"/>
      <c r="AR224" s="161"/>
      <c r="AS224" s="161"/>
      <c r="AT224" s="161"/>
      <c r="AU224" s="161"/>
      <c r="AV224" s="161"/>
      <c r="AW224" s="161"/>
      <c r="AX224" s="161"/>
      <c r="AY224" s="161"/>
      <c r="AZ224" s="161"/>
      <c r="BA224" s="161"/>
      <c r="BB224" s="161"/>
      <c r="BC224" s="161"/>
      <c r="BD224" s="161"/>
      <c r="BE224" s="161"/>
      <c r="BF224" s="161"/>
      <c r="BG224" s="161"/>
      <c r="BH224" s="161"/>
      <c r="BI224" s="161"/>
      <c r="BJ224" s="161"/>
      <c r="BK224" s="161"/>
      <c r="BL224" s="161"/>
      <c r="BM224" s="161"/>
      <c r="BN224" s="161"/>
      <c r="BO224" s="161"/>
      <c r="BP224" s="161"/>
      <c r="BQ224" s="161"/>
      <c r="BR224" s="161"/>
      <c r="BS224" s="161"/>
      <c r="BT224" s="161"/>
      <c r="BU224" s="161"/>
      <c r="BV224" s="161"/>
      <c r="BW224" s="161"/>
      <c r="BX224" s="161"/>
      <c r="BY224" s="161"/>
      <c r="BZ224" s="161"/>
      <c r="CA224" s="161"/>
      <c r="CB224" s="161"/>
      <c r="CC224" s="161"/>
      <c r="CD224" s="161"/>
      <c r="CE224" s="161"/>
      <c r="CF224" s="161"/>
      <c r="CG224" s="161"/>
      <c r="CH224" s="161"/>
      <c r="CI224" s="161"/>
      <c r="CJ224" s="161"/>
      <c r="CK224" s="161"/>
      <c r="CL224" s="161"/>
      <c r="CM224" s="161"/>
      <c r="CN224" s="161"/>
      <c r="CO224" s="161"/>
      <c r="CP224" s="161"/>
      <c r="CQ224" s="161"/>
      <c r="CR224" s="161"/>
      <c r="CS224" s="161"/>
      <c r="CT224" s="161"/>
      <c r="CU224" s="161"/>
      <c r="CV224" s="161"/>
      <c r="CW224" s="161"/>
      <c r="CX224" s="161"/>
      <c r="CY224" s="161"/>
      <c r="CZ224" s="161"/>
      <c r="DA224" s="161"/>
      <c r="DB224" s="161"/>
      <c r="DC224" s="161"/>
      <c r="DD224" s="161"/>
      <c r="DE224" s="161"/>
      <c r="DF224" s="161"/>
      <c r="DG224" s="161"/>
      <c r="DH224" s="161"/>
      <c r="DI224" s="161"/>
      <c r="DJ224" s="161"/>
      <c r="DK224" s="161"/>
      <c r="DL224" s="161"/>
      <c r="DM224" s="161"/>
      <c r="DN224" s="161"/>
      <c r="DO224" s="161"/>
      <c r="DP224" s="161"/>
      <c r="DQ224" s="161"/>
      <c r="DR224" s="161"/>
      <c r="DS224" s="161"/>
      <c r="DT224" s="161"/>
      <c r="DU224" s="161"/>
      <c r="DV224" s="161"/>
      <c r="DW224" s="161"/>
      <c r="DX224" s="161"/>
      <c r="DY224" s="161"/>
      <c r="DZ224" s="161"/>
      <c r="EA224" s="161"/>
      <c r="EB224" s="161"/>
      <c r="EC224" s="161"/>
      <c r="ED224" s="161"/>
      <c r="EE224" s="161"/>
      <c r="EF224" s="161"/>
      <c r="EG224" s="161"/>
      <c r="EH224" s="161"/>
      <c r="EI224" s="161"/>
      <c r="EJ224" s="161"/>
      <c r="EK224" s="161"/>
      <c r="EL224" s="161"/>
      <c r="EM224" s="161"/>
      <c r="EN224" s="161"/>
      <c r="EO224" s="161"/>
      <c r="EP224" s="161"/>
    </row>
    <row r="225" spans="2:146" s="162" customFormat="1" ht="12" hidden="1" customHeight="1">
      <c r="B225" s="216"/>
      <c r="C225" s="216"/>
      <c r="D225" s="216"/>
      <c r="AC225"/>
      <c r="AD225"/>
      <c r="AE225"/>
      <c r="AF225"/>
      <c r="AG225"/>
      <c r="AH225"/>
      <c r="AI225"/>
      <c r="AJ225"/>
      <c r="AK225" s="161"/>
      <c r="AL225" s="161"/>
      <c r="AM225" s="161"/>
      <c r="AN225" s="161"/>
      <c r="AO225" s="161"/>
      <c r="AP225" s="161"/>
      <c r="AQ225" s="161"/>
      <c r="AR225" s="161"/>
      <c r="AS225" s="161"/>
      <c r="AT225" s="161"/>
      <c r="AU225" s="161"/>
      <c r="AV225" s="161"/>
      <c r="AW225" s="161"/>
      <c r="AX225" s="161"/>
      <c r="AY225" s="161"/>
      <c r="AZ225" s="161"/>
      <c r="BA225" s="161"/>
      <c r="BB225" s="161"/>
      <c r="BC225" s="161"/>
      <c r="BD225" s="161"/>
      <c r="BE225" s="161"/>
      <c r="BF225" s="161"/>
      <c r="BG225" s="161"/>
      <c r="BH225" s="161"/>
      <c r="BI225" s="161"/>
      <c r="BJ225" s="161"/>
      <c r="BK225" s="161"/>
      <c r="BL225" s="161"/>
      <c r="BM225" s="161"/>
      <c r="BN225" s="161"/>
      <c r="BO225" s="161"/>
      <c r="BP225" s="161"/>
      <c r="BQ225" s="161"/>
      <c r="BR225" s="161"/>
      <c r="BS225" s="161"/>
      <c r="BT225" s="161"/>
      <c r="BU225" s="161"/>
      <c r="BV225" s="161"/>
      <c r="BW225" s="161"/>
      <c r="BX225" s="161"/>
      <c r="BY225" s="161"/>
      <c r="BZ225" s="161"/>
      <c r="CA225" s="161"/>
      <c r="CB225" s="161"/>
      <c r="CC225" s="161"/>
      <c r="CD225" s="161"/>
      <c r="CE225" s="161"/>
      <c r="CF225" s="161"/>
      <c r="CG225" s="161"/>
      <c r="CH225" s="161"/>
      <c r="CI225" s="161"/>
      <c r="CJ225" s="161"/>
      <c r="CK225" s="161"/>
      <c r="CL225" s="161"/>
      <c r="CM225" s="161"/>
      <c r="CN225" s="161"/>
      <c r="CO225" s="161"/>
      <c r="CP225" s="161"/>
      <c r="CQ225" s="161"/>
      <c r="CR225" s="161"/>
      <c r="CS225" s="161"/>
      <c r="CT225" s="161"/>
      <c r="CU225" s="161"/>
      <c r="CV225" s="161"/>
      <c r="CW225" s="161"/>
      <c r="CX225" s="161"/>
      <c r="CY225" s="161"/>
      <c r="CZ225" s="161"/>
      <c r="DA225" s="161"/>
      <c r="DB225" s="161"/>
      <c r="DC225" s="161"/>
      <c r="DD225" s="161"/>
      <c r="DE225" s="161"/>
      <c r="DF225" s="161"/>
      <c r="DG225" s="161"/>
      <c r="DH225" s="161"/>
      <c r="DI225" s="161"/>
      <c r="DJ225" s="161"/>
      <c r="DK225" s="161"/>
      <c r="DL225" s="161"/>
      <c r="DM225" s="161"/>
      <c r="DN225" s="161"/>
      <c r="DO225" s="161"/>
      <c r="DP225" s="161"/>
      <c r="DQ225" s="161"/>
      <c r="DR225" s="161"/>
      <c r="DS225" s="161"/>
      <c r="DT225" s="161"/>
      <c r="DU225" s="161"/>
      <c r="DV225" s="161"/>
      <c r="DW225" s="161"/>
      <c r="DX225" s="161"/>
      <c r="DY225" s="161"/>
      <c r="DZ225" s="161"/>
      <c r="EA225" s="161"/>
      <c r="EB225" s="161"/>
      <c r="EC225" s="161"/>
      <c r="ED225" s="161"/>
      <c r="EE225" s="161"/>
      <c r="EF225" s="161"/>
      <c r="EG225" s="161"/>
      <c r="EH225" s="161"/>
      <c r="EI225" s="161"/>
      <c r="EJ225" s="161"/>
      <c r="EK225" s="161"/>
      <c r="EL225" s="161"/>
      <c r="EM225" s="161"/>
      <c r="EN225" s="161"/>
      <c r="EO225" s="161"/>
      <c r="EP225" s="161"/>
    </row>
    <row r="226" spans="2:146" s="162" customFormat="1" ht="12" hidden="1" customHeight="1">
      <c r="B226" s="216"/>
      <c r="C226" s="216"/>
      <c r="D226" s="216"/>
      <c r="AC226"/>
      <c r="AD226"/>
      <c r="AE226"/>
      <c r="AF226"/>
      <c r="AG226"/>
      <c r="AH226"/>
      <c r="AI226"/>
      <c r="AJ226"/>
      <c r="AK226" s="161"/>
      <c r="AL226" s="161"/>
      <c r="AM226" s="161"/>
      <c r="AN226" s="161"/>
      <c r="AO226" s="161"/>
      <c r="AP226" s="161"/>
      <c r="AQ226" s="161"/>
      <c r="AR226" s="161"/>
      <c r="AS226" s="161"/>
      <c r="AT226" s="161"/>
      <c r="AU226" s="161"/>
      <c r="AV226" s="161"/>
      <c r="AW226" s="161"/>
      <c r="AX226" s="161"/>
      <c r="AY226" s="161"/>
      <c r="AZ226" s="161"/>
      <c r="BA226" s="161"/>
      <c r="BB226" s="161"/>
      <c r="BC226" s="161"/>
      <c r="BD226" s="161"/>
      <c r="BE226" s="161"/>
      <c r="BF226" s="161"/>
      <c r="BG226" s="161"/>
      <c r="BH226" s="161"/>
      <c r="BI226" s="161"/>
      <c r="BJ226" s="161"/>
      <c r="BK226" s="161"/>
      <c r="BL226" s="161"/>
      <c r="BM226" s="161"/>
      <c r="BN226" s="161"/>
      <c r="BO226" s="161"/>
      <c r="BP226" s="161"/>
      <c r="BQ226" s="161"/>
      <c r="BR226" s="161"/>
      <c r="BS226" s="161"/>
      <c r="BT226" s="161"/>
      <c r="BU226" s="161"/>
      <c r="BV226" s="161"/>
      <c r="BW226" s="161"/>
      <c r="BX226" s="161"/>
      <c r="BY226" s="161"/>
      <c r="BZ226" s="161"/>
      <c r="CA226" s="161"/>
      <c r="CB226" s="161"/>
      <c r="CC226" s="161"/>
      <c r="CD226" s="161"/>
      <c r="CE226" s="161"/>
      <c r="CF226" s="161"/>
      <c r="CG226" s="161"/>
      <c r="CH226" s="161"/>
      <c r="CI226" s="161"/>
      <c r="CJ226" s="161"/>
      <c r="CK226" s="161"/>
      <c r="CL226" s="161"/>
      <c r="CM226" s="161"/>
      <c r="CN226" s="161"/>
      <c r="CO226" s="161"/>
      <c r="CP226" s="161"/>
      <c r="CQ226" s="161"/>
      <c r="CR226" s="161"/>
      <c r="CS226" s="161"/>
      <c r="CT226" s="161"/>
      <c r="CU226" s="161"/>
      <c r="CV226" s="161"/>
      <c r="CW226" s="161"/>
      <c r="CX226" s="161"/>
      <c r="CY226" s="161"/>
      <c r="CZ226" s="161"/>
      <c r="DA226" s="161"/>
      <c r="DB226" s="161"/>
      <c r="DC226" s="161"/>
      <c r="DD226" s="161"/>
      <c r="DE226" s="161"/>
      <c r="DF226" s="161"/>
      <c r="DG226" s="161"/>
      <c r="DH226" s="161"/>
      <c r="DI226" s="161"/>
      <c r="DJ226" s="161"/>
      <c r="DK226" s="161"/>
      <c r="DL226" s="161"/>
      <c r="DM226" s="161"/>
      <c r="DN226" s="161"/>
      <c r="DO226" s="161"/>
      <c r="DP226" s="161"/>
      <c r="DQ226" s="161"/>
      <c r="DR226" s="161"/>
      <c r="DS226" s="161"/>
      <c r="DT226" s="161"/>
      <c r="DU226" s="161"/>
      <c r="DV226" s="161"/>
      <c r="DW226" s="161"/>
      <c r="DX226" s="161"/>
      <c r="DY226" s="161"/>
      <c r="DZ226" s="161"/>
      <c r="EA226" s="161"/>
      <c r="EB226" s="161"/>
      <c r="EC226" s="161"/>
      <c r="ED226" s="161"/>
      <c r="EE226" s="161"/>
      <c r="EF226" s="161"/>
      <c r="EG226" s="161"/>
      <c r="EH226" s="161"/>
      <c r="EI226" s="161"/>
      <c r="EJ226" s="161"/>
      <c r="EK226" s="161"/>
      <c r="EL226" s="161"/>
      <c r="EM226" s="161"/>
      <c r="EN226" s="161"/>
      <c r="EO226" s="161"/>
      <c r="EP226" s="161"/>
    </row>
    <row r="227" spans="2:146" s="162" customFormat="1" ht="12" hidden="1" customHeight="1">
      <c r="B227" s="216"/>
      <c r="C227" s="216"/>
      <c r="D227" s="216"/>
      <c r="AC227"/>
      <c r="AD227"/>
      <c r="AE227"/>
      <c r="AF227"/>
      <c r="AG227"/>
      <c r="AH227"/>
      <c r="AI227"/>
      <c r="AJ227"/>
      <c r="AK227" s="161"/>
      <c r="AL227" s="161"/>
      <c r="AM227" s="161"/>
      <c r="AN227" s="161"/>
      <c r="AO227" s="161"/>
      <c r="AP227" s="161"/>
      <c r="AQ227" s="161"/>
      <c r="AR227" s="161"/>
      <c r="AS227" s="161"/>
      <c r="AT227" s="161"/>
      <c r="AU227" s="161"/>
      <c r="AV227" s="161"/>
      <c r="AW227" s="161"/>
      <c r="AX227" s="161"/>
      <c r="AY227" s="161"/>
      <c r="AZ227" s="161"/>
      <c r="BA227" s="161"/>
      <c r="BB227" s="161"/>
      <c r="BC227" s="161"/>
      <c r="BD227" s="161"/>
      <c r="BE227" s="161"/>
      <c r="BF227" s="161"/>
      <c r="BG227" s="161"/>
      <c r="BH227" s="161"/>
      <c r="BI227" s="161"/>
      <c r="BJ227" s="161"/>
      <c r="BK227" s="161"/>
      <c r="BL227" s="161"/>
      <c r="BM227" s="161"/>
      <c r="BN227" s="161"/>
      <c r="BO227" s="161"/>
      <c r="BP227" s="161"/>
      <c r="BQ227" s="161"/>
      <c r="BR227" s="161"/>
      <c r="BS227" s="161"/>
      <c r="BT227" s="161"/>
      <c r="BU227" s="161"/>
      <c r="BV227" s="161"/>
      <c r="BW227" s="161"/>
      <c r="BX227" s="161"/>
      <c r="BY227" s="161"/>
      <c r="BZ227" s="161"/>
      <c r="CA227" s="161"/>
      <c r="CB227" s="161"/>
      <c r="CC227" s="161"/>
      <c r="CD227" s="161"/>
      <c r="CE227" s="161"/>
      <c r="CF227" s="161"/>
      <c r="CG227" s="161"/>
      <c r="CH227" s="161"/>
      <c r="CI227" s="161"/>
      <c r="CJ227" s="161"/>
      <c r="CK227" s="161"/>
      <c r="CL227" s="161"/>
      <c r="CM227" s="161"/>
      <c r="CN227" s="161"/>
      <c r="CO227" s="161"/>
      <c r="CP227" s="161"/>
      <c r="CQ227" s="161"/>
      <c r="CR227" s="161"/>
      <c r="CS227" s="161"/>
      <c r="CT227" s="161"/>
      <c r="CU227" s="161"/>
      <c r="CV227" s="161"/>
      <c r="CW227" s="161"/>
      <c r="CX227" s="161"/>
      <c r="CY227" s="161"/>
      <c r="CZ227" s="161"/>
      <c r="DA227" s="161"/>
      <c r="DB227" s="161"/>
      <c r="DC227" s="161"/>
      <c r="DD227" s="161"/>
      <c r="DE227" s="161"/>
      <c r="DF227" s="161"/>
      <c r="DG227" s="161"/>
      <c r="DH227" s="161"/>
      <c r="DI227" s="161"/>
      <c r="DJ227" s="161"/>
      <c r="DK227" s="161"/>
      <c r="DL227" s="161"/>
      <c r="DM227" s="161"/>
      <c r="DN227" s="161"/>
      <c r="DO227" s="161"/>
      <c r="DP227" s="161"/>
      <c r="DQ227" s="161"/>
      <c r="DR227" s="161"/>
      <c r="DS227" s="161"/>
      <c r="DT227" s="161"/>
      <c r="DU227" s="161"/>
      <c r="DV227" s="161"/>
      <c r="DW227" s="161"/>
      <c r="DX227" s="161"/>
      <c r="DY227" s="161"/>
      <c r="DZ227" s="161"/>
      <c r="EA227" s="161"/>
      <c r="EB227" s="161"/>
      <c r="EC227" s="161"/>
      <c r="ED227" s="161"/>
      <c r="EE227" s="161"/>
      <c r="EF227" s="161"/>
      <c r="EG227" s="161"/>
      <c r="EH227" s="161"/>
      <c r="EI227" s="161"/>
      <c r="EJ227" s="161"/>
      <c r="EK227" s="161"/>
      <c r="EL227" s="161"/>
      <c r="EM227" s="161"/>
      <c r="EN227" s="161"/>
      <c r="EO227" s="161"/>
      <c r="EP227" s="161"/>
    </row>
    <row r="228" spans="2:146" s="162" customFormat="1" ht="12" hidden="1" customHeight="1">
      <c r="B228" s="216"/>
      <c r="C228" s="216"/>
      <c r="D228" s="216"/>
      <c r="AC228"/>
      <c r="AD228"/>
      <c r="AE228"/>
      <c r="AF228"/>
      <c r="AG228"/>
      <c r="AH228"/>
      <c r="AI228"/>
      <c r="AJ228"/>
      <c r="AK228" s="161"/>
      <c r="AL228" s="161"/>
      <c r="AM228" s="161"/>
      <c r="AN228" s="161"/>
      <c r="AO228" s="161"/>
      <c r="AP228" s="161"/>
      <c r="AQ228" s="161"/>
      <c r="AR228" s="161"/>
      <c r="AS228" s="161"/>
      <c r="AT228" s="161"/>
      <c r="AU228" s="161"/>
      <c r="AV228" s="161"/>
      <c r="AW228" s="161"/>
      <c r="AX228" s="161"/>
      <c r="AY228" s="161"/>
      <c r="AZ228" s="161"/>
      <c r="BA228" s="161"/>
      <c r="BB228" s="161"/>
      <c r="BC228" s="161"/>
      <c r="BD228" s="161"/>
      <c r="BE228" s="161"/>
      <c r="BF228" s="161"/>
      <c r="BG228" s="161"/>
      <c r="BH228" s="161"/>
      <c r="BI228" s="161"/>
      <c r="BJ228" s="161"/>
      <c r="BK228" s="161"/>
      <c r="BL228" s="161"/>
      <c r="BM228" s="161"/>
      <c r="BN228" s="161"/>
      <c r="BO228" s="161"/>
      <c r="BP228" s="161"/>
      <c r="BQ228" s="161"/>
      <c r="BR228" s="161"/>
      <c r="BS228" s="161"/>
      <c r="BT228" s="161"/>
      <c r="BU228" s="161"/>
      <c r="BV228" s="161"/>
      <c r="BW228" s="161"/>
      <c r="BX228" s="161"/>
      <c r="BY228" s="161"/>
      <c r="BZ228" s="161"/>
      <c r="CA228" s="161"/>
      <c r="CB228" s="161"/>
      <c r="CC228" s="161"/>
      <c r="CD228" s="161"/>
      <c r="CE228" s="161"/>
      <c r="CF228" s="161"/>
      <c r="CG228" s="161"/>
      <c r="CH228" s="161"/>
      <c r="CI228" s="161"/>
      <c r="CJ228" s="161"/>
      <c r="CK228" s="161"/>
      <c r="CL228" s="161"/>
      <c r="CM228" s="161"/>
      <c r="CN228" s="161"/>
      <c r="CO228" s="161"/>
      <c r="CP228" s="161"/>
      <c r="CQ228" s="161"/>
      <c r="CR228" s="161"/>
      <c r="CS228" s="161"/>
      <c r="CT228" s="161"/>
      <c r="CU228" s="161"/>
      <c r="CV228" s="161"/>
      <c r="CW228" s="161"/>
      <c r="CX228" s="161"/>
      <c r="CY228" s="161"/>
      <c r="CZ228" s="161"/>
      <c r="DA228" s="161"/>
      <c r="DB228" s="161"/>
      <c r="DC228" s="161"/>
      <c r="DD228" s="161"/>
      <c r="DE228" s="161"/>
      <c r="DF228" s="161"/>
      <c r="DG228" s="161"/>
      <c r="DH228" s="161"/>
      <c r="DI228" s="161"/>
      <c r="DJ228" s="161"/>
      <c r="DK228" s="161"/>
      <c r="DL228" s="161"/>
      <c r="DM228" s="161"/>
      <c r="DN228" s="161"/>
      <c r="DO228" s="161"/>
      <c r="DP228" s="161"/>
      <c r="DQ228" s="161"/>
      <c r="DR228" s="161"/>
      <c r="DS228" s="161"/>
      <c r="DT228" s="161"/>
      <c r="DU228" s="161"/>
      <c r="DV228" s="161"/>
      <c r="DW228" s="161"/>
      <c r="DX228" s="161"/>
      <c r="DY228" s="161"/>
      <c r="DZ228" s="161"/>
      <c r="EA228" s="161"/>
      <c r="EB228" s="161"/>
      <c r="EC228" s="161"/>
      <c r="ED228" s="161"/>
      <c r="EE228" s="161"/>
      <c r="EF228" s="161"/>
      <c r="EG228" s="161"/>
      <c r="EH228" s="161"/>
      <c r="EI228" s="161"/>
      <c r="EJ228" s="161"/>
      <c r="EK228" s="161"/>
      <c r="EL228" s="161"/>
      <c r="EM228" s="161"/>
      <c r="EN228" s="161"/>
      <c r="EO228" s="161"/>
      <c r="EP228" s="161"/>
    </row>
    <row r="229" spans="2:146" ht="12" hidden="1" customHeight="1"/>
    <row r="230" spans="2:146" ht="12" hidden="1" customHeight="1"/>
    <row r="231" spans="2:146" ht="12" hidden="1" customHeight="1"/>
    <row r="232" spans="2:146" ht="12" hidden="1" customHeight="1"/>
    <row r="233" spans="2:146" ht="12" hidden="1" customHeight="1"/>
    <row r="234" spans="2:146" ht="12" hidden="1" customHeight="1"/>
    <row r="235" spans="2:146" ht="12" hidden="1" customHeight="1"/>
    <row r="236" spans="2:146" ht="12" hidden="1" customHeight="1"/>
    <row r="237" spans="2:146" ht="12" hidden="1" customHeight="1"/>
    <row r="238" spans="2:146" ht="12" hidden="1" customHeight="1"/>
    <row r="239" spans="2:146" ht="12" hidden="1" customHeight="1"/>
    <row r="240" spans="2:146" ht="12" hidden="1" customHeight="1"/>
    <row r="241" ht="12" hidden="1" customHeight="1"/>
    <row r="242" ht="12" hidden="1" customHeight="1"/>
    <row r="243" ht="12" hidden="1" customHeight="1"/>
    <row r="244" ht="12" hidden="1" customHeight="1"/>
    <row r="245" ht="12" hidden="1" customHeight="1"/>
    <row r="246" ht="12" hidden="1" customHeight="1"/>
    <row r="247" ht="12" hidden="1" customHeight="1"/>
    <row r="248" ht="12" hidden="1" customHeight="1"/>
    <row r="249" ht="12" hidden="1" customHeight="1"/>
    <row r="250" ht="12" hidden="1" customHeight="1"/>
    <row r="251" ht="12" hidden="1" customHeight="1"/>
    <row r="252" ht="12" hidden="1" customHeight="1"/>
    <row r="253" ht="12" hidden="1" customHeight="1"/>
    <row r="254" ht="12" hidden="1" customHeight="1"/>
    <row r="255" ht="12" hidden="1" customHeight="1"/>
    <row r="256" ht="12" hidden="1" customHeight="1"/>
    <row r="257" ht="12" hidden="1" customHeight="1"/>
    <row r="258" ht="12" hidden="1" customHeight="1"/>
    <row r="259" ht="12" hidden="1" customHeight="1"/>
    <row r="260" ht="12" hidden="1" customHeight="1"/>
    <row r="261" ht="12" hidden="1" customHeight="1"/>
    <row r="262" ht="12" hidden="1" customHeight="1"/>
    <row r="263" ht="12" hidden="1" customHeight="1"/>
    <row r="264" ht="12" hidden="1" customHeight="1"/>
    <row r="265" ht="12" hidden="1" customHeight="1"/>
    <row r="266" ht="12" hidden="1" customHeight="1"/>
    <row r="267" ht="12" hidden="1" customHeight="1"/>
    <row r="268" ht="12" hidden="1" customHeight="1"/>
    <row r="269" ht="12" hidden="1" customHeight="1"/>
    <row r="270" ht="12" hidden="1" customHeight="1"/>
    <row r="271" ht="12" hidden="1" customHeight="1"/>
    <row r="272" ht="12" hidden="1" customHeight="1"/>
    <row r="273" ht="12" hidden="1" customHeight="1"/>
    <row r="274" ht="12" hidden="1" customHeight="1"/>
    <row r="275" ht="12" hidden="1" customHeight="1"/>
    <row r="276" ht="12" hidden="1" customHeight="1"/>
    <row r="277" ht="12" hidden="1" customHeight="1"/>
    <row r="278" ht="12" hidden="1" customHeight="1"/>
    <row r="279" ht="12" hidden="1" customHeight="1"/>
    <row r="280" ht="12" hidden="1" customHeight="1"/>
    <row r="281" ht="12" hidden="1" customHeight="1"/>
    <row r="282" ht="12" hidden="1" customHeight="1"/>
    <row r="283" ht="12" hidden="1" customHeight="1"/>
    <row r="284" ht="12" hidden="1" customHeight="1"/>
    <row r="285" ht="12" hidden="1" customHeight="1"/>
    <row r="286" ht="12" hidden="1" customHeight="1"/>
    <row r="287" ht="12" hidden="1" customHeight="1"/>
    <row r="288" ht="12" hidden="1" customHeight="1"/>
    <row r="289" ht="12" hidden="1" customHeight="1"/>
    <row r="290" ht="12" hidden="1" customHeight="1"/>
    <row r="291" ht="12" hidden="1" customHeight="1"/>
    <row r="292" ht="12" hidden="1" customHeight="1"/>
    <row r="293" ht="12" hidden="1" customHeight="1"/>
    <row r="294" ht="12" hidden="1" customHeight="1"/>
    <row r="295" ht="12" hidden="1" customHeight="1"/>
    <row r="296" ht="12" hidden="1" customHeight="1"/>
    <row r="297" ht="12" hidden="1" customHeight="1"/>
    <row r="298" ht="12" hidden="1" customHeight="1"/>
    <row r="299" ht="12" hidden="1" customHeight="1"/>
    <row r="300" ht="12" hidden="1" customHeight="1"/>
    <row r="301" ht="12" hidden="1" customHeight="1"/>
    <row r="302" ht="12" hidden="1" customHeight="1"/>
    <row r="303" ht="12" hidden="1" customHeight="1"/>
    <row r="304" ht="12" hidden="1" customHeight="1"/>
    <row r="305" ht="12" hidden="1" customHeight="1"/>
    <row r="306" ht="12" hidden="1" customHeight="1"/>
    <row r="307" ht="12" hidden="1" customHeight="1"/>
    <row r="308" ht="12" hidden="1" customHeight="1"/>
  </sheetData>
  <sheetProtection formatCells="0" selectLockedCells="1"/>
  <sortState ref="D136:D138">
    <sortCondition ref="D136:D138"/>
  </sortState>
  <mergeCells count="252">
    <mergeCell ref="B167:Z167"/>
    <mergeCell ref="B169:Z169"/>
    <mergeCell ref="B152:Y152"/>
    <mergeCell ref="B43:H43"/>
    <mergeCell ref="B44:H44"/>
    <mergeCell ref="I43:O43"/>
    <mergeCell ref="I44:O44"/>
    <mergeCell ref="P43:T43"/>
    <mergeCell ref="U43:AA43"/>
    <mergeCell ref="U44:AA44"/>
    <mergeCell ref="P44:T44"/>
    <mergeCell ref="B153:Y153"/>
    <mergeCell ref="B154:Y154"/>
    <mergeCell ref="A129:AB129"/>
    <mergeCell ref="B130:AA130"/>
    <mergeCell ref="S137:T137"/>
    <mergeCell ref="S138:T138"/>
    <mergeCell ref="X132:AA132"/>
    <mergeCell ref="B151:Y151"/>
    <mergeCell ref="S142:T142"/>
    <mergeCell ref="S143:T143"/>
    <mergeCell ref="F135:M135"/>
    <mergeCell ref="O135:Q135"/>
    <mergeCell ref="S135:T135"/>
    <mergeCell ref="F2:L5"/>
    <mergeCell ref="B164:AA164"/>
    <mergeCell ref="B165:AA165"/>
    <mergeCell ref="Z51:AA51"/>
    <mergeCell ref="Z57:AA57"/>
    <mergeCell ref="Z59:AA59"/>
    <mergeCell ref="Z61:AA61"/>
    <mergeCell ref="B156:AA156"/>
    <mergeCell ref="B158:AA158"/>
    <mergeCell ref="B160:AA160"/>
    <mergeCell ref="B155:AA155"/>
    <mergeCell ref="B162:AA162"/>
    <mergeCell ref="B163:AA163"/>
    <mergeCell ref="B149:AA149"/>
    <mergeCell ref="Z73:AA73"/>
    <mergeCell ref="Z65:AA65"/>
    <mergeCell ref="Z63:AA63"/>
    <mergeCell ref="B73:Y73"/>
    <mergeCell ref="S4:U4"/>
    <mergeCell ref="O4:R4"/>
    <mergeCell ref="O5:R5"/>
    <mergeCell ref="S5:U5"/>
    <mergeCell ref="B7:H7"/>
    <mergeCell ref="I7:AA7"/>
    <mergeCell ref="B14:C14"/>
    <mergeCell ref="B18:C18"/>
    <mergeCell ref="A19:AB19"/>
    <mergeCell ref="C133:E133"/>
    <mergeCell ref="O133:Q133"/>
    <mergeCell ref="S133:T133"/>
    <mergeCell ref="U133:V133"/>
    <mergeCell ref="O132:Q132"/>
    <mergeCell ref="Z49:AA49"/>
    <mergeCell ref="D16:N16"/>
    <mergeCell ref="J22:L22"/>
    <mergeCell ref="X133:Y133"/>
    <mergeCell ref="V21:X21"/>
    <mergeCell ref="V22:X22"/>
    <mergeCell ref="Q16:AA16"/>
    <mergeCell ref="Q18:AA18"/>
    <mergeCell ref="P24:Q24"/>
    <mergeCell ref="R24:S24"/>
    <mergeCell ref="T24:U24"/>
    <mergeCell ref="V24:W24"/>
    <mergeCell ref="P25:Q25"/>
    <mergeCell ref="R25:S25"/>
    <mergeCell ref="T25:U25"/>
    <mergeCell ref="V25:W25"/>
    <mergeCell ref="B9:AA10"/>
    <mergeCell ref="A6:AB6"/>
    <mergeCell ref="C132:E132"/>
    <mergeCell ref="B12:N12"/>
    <mergeCell ref="C33:AA33"/>
    <mergeCell ref="B32:AA32"/>
    <mergeCell ref="C35:AA35"/>
    <mergeCell ref="B30:E30"/>
    <mergeCell ref="F30:AA30"/>
    <mergeCell ref="B28:E28"/>
    <mergeCell ref="B29:E29"/>
    <mergeCell ref="F28:I28"/>
    <mergeCell ref="F29:I29"/>
    <mergeCell ref="D24:E24"/>
    <mergeCell ref="Z89:AA89"/>
    <mergeCell ref="B23:AA23"/>
    <mergeCell ref="Z83:AA83"/>
    <mergeCell ref="B85:Y85"/>
    <mergeCell ref="Q14:AA14"/>
    <mergeCell ref="X25:Y25"/>
    <mergeCell ref="Z25:AA25"/>
    <mergeCell ref="Y22:AA22"/>
    <mergeCell ref="Y21:AA21"/>
    <mergeCell ref="B65:Y65"/>
    <mergeCell ref="B15:C15"/>
    <mergeCell ref="O14:P14"/>
    <mergeCell ref="A41:AA41"/>
    <mergeCell ref="O12:AA12"/>
    <mergeCell ref="D13:N13"/>
    <mergeCell ref="D14:N14"/>
    <mergeCell ref="D15:N15"/>
    <mergeCell ref="D17:N17"/>
    <mergeCell ref="O15:P15"/>
    <mergeCell ref="Q15:AA15"/>
    <mergeCell ref="B16:C16"/>
    <mergeCell ref="A26:AA26"/>
    <mergeCell ref="B22:C22"/>
    <mergeCell ref="B21:C21"/>
    <mergeCell ref="D21:E21"/>
    <mergeCell ref="D22:E22"/>
    <mergeCell ref="X24:Y24"/>
    <mergeCell ref="O13:P13"/>
    <mergeCell ref="Q13:AA13"/>
    <mergeCell ref="B25:C25"/>
    <mergeCell ref="D25:E25"/>
    <mergeCell ref="J25:K25"/>
    <mergeCell ref="A13:C13"/>
    <mergeCell ref="H24:I24"/>
    <mergeCell ref="O18:P18"/>
    <mergeCell ref="B24:C24"/>
    <mergeCell ref="F136:M139"/>
    <mergeCell ref="O136:Q136"/>
    <mergeCell ref="S136:T136"/>
    <mergeCell ref="M21:O21"/>
    <mergeCell ref="P68:AA68"/>
    <mergeCell ref="P94:AA94"/>
    <mergeCell ref="Z85:AA85"/>
    <mergeCell ref="N24:O24"/>
    <mergeCell ref="H25:I25"/>
    <mergeCell ref="S71:Y71"/>
    <mergeCell ref="Z70:AA71"/>
    <mergeCell ref="X118:AA118"/>
    <mergeCell ref="X117:AA117"/>
    <mergeCell ref="L118:N118"/>
    <mergeCell ref="L25:M25"/>
    <mergeCell ref="N25:O25"/>
    <mergeCell ref="B116:N116"/>
    <mergeCell ref="O116:AA116"/>
    <mergeCell ref="M22:O22"/>
    <mergeCell ref="C34:AA34"/>
    <mergeCell ref="N28:Q28"/>
    <mergeCell ref="N29:Q29"/>
    <mergeCell ref="F145:G145"/>
    <mergeCell ref="A147:AB147"/>
    <mergeCell ref="S139:T139"/>
    <mergeCell ref="F140:M143"/>
    <mergeCell ref="S140:T140"/>
    <mergeCell ref="Z140:AA140"/>
    <mergeCell ref="B89:Y89"/>
    <mergeCell ref="S141:T141"/>
    <mergeCell ref="B17:C17"/>
    <mergeCell ref="O17:P17"/>
    <mergeCell ref="Q17:AA17"/>
    <mergeCell ref="B20:E20"/>
    <mergeCell ref="F20:AA20"/>
    <mergeCell ref="F21:G21"/>
    <mergeCell ref="F132:G132"/>
    <mergeCell ref="B55:Y55"/>
    <mergeCell ref="B57:Y57"/>
    <mergeCell ref="B59:Y59"/>
    <mergeCell ref="B61:Y61"/>
    <mergeCell ref="H132:I132"/>
    <mergeCell ref="L132:M132"/>
    <mergeCell ref="B51:Y51"/>
    <mergeCell ref="B53:Y53"/>
    <mergeCell ref="B102:AA102"/>
    <mergeCell ref="R28:V28"/>
    <mergeCell ref="R29:V29"/>
    <mergeCell ref="W28:AA28"/>
    <mergeCell ref="W29:AA29"/>
    <mergeCell ref="B49:Y49"/>
    <mergeCell ref="P47:AA47"/>
    <mergeCell ref="J24:K24"/>
    <mergeCell ref="L24:M24"/>
    <mergeCell ref="A31:AB31"/>
    <mergeCell ref="X136:AA136"/>
    <mergeCell ref="C37:AA37"/>
    <mergeCell ref="C36:AA36"/>
    <mergeCell ref="C38:AA38"/>
    <mergeCell ref="B114:AA114"/>
    <mergeCell ref="O118:W118"/>
    <mergeCell ref="Z79:AA79"/>
    <mergeCell ref="B79:Y79"/>
    <mergeCell ref="Z81:AA81"/>
    <mergeCell ref="B81:Y81"/>
    <mergeCell ref="B83:Y83"/>
    <mergeCell ref="Z77:AA77"/>
    <mergeCell ref="S132:V132"/>
    <mergeCell ref="B117:K117"/>
    <mergeCell ref="Z133:AA133"/>
    <mergeCell ref="X135:AA135"/>
    <mergeCell ref="J21:L21"/>
    <mergeCell ref="B118:K118"/>
    <mergeCell ref="O117:W117"/>
    <mergeCell ref="L117:N117"/>
    <mergeCell ref="B63:Y63"/>
    <mergeCell ref="B98:AA98"/>
    <mergeCell ref="B70:Y70"/>
    <mergeCell ref="B75:Y75"/>
    <mergeCell ref="Z75:AA75"/>
    <mergeCell ref="H21:I21"/>
    <mergeCell ref="B104:AA104"/>
    <mergeCell ref="B106:AA106"/>
    <mergeCell ref="B108:AA108"/>
    <mergeCell ref="B110:AA110"/>
    <mergeCell ref="B112:AA112"/>
    <mergeCell ref="B96:AA96"/>
    <mergeCell ref="B100:AA100"/>
    <mergeCell ref="B94:O94"/>
    <mergeCell ref="B91:Y91"/>
    <mergeCell ref="Z91:AA91"/>
    <mergeCell ref="B87:Y87"/>
    <mergeCell ref="Z87:AA87"/>
    <mergeCell ref="B68:O68"/>
    <mergeCell ref="B77:Y77"/>
    <mergeCell ref="V2:AA2"/>
    <mergeCell ref="V3:AA3"/>
    <mergeCell ref="V4:AA4"/>
    <mergeCell ref="V5:AA5"/>
    <mergeCell ref="M2:N2"/>
    <mergeCell ref="M3:N3"/>
    <mergeCell ref="M4:N4"/>
    <mergeCell ref="M5:N5"/>
    <mergeCell ref="O2:R2"/>
    <mergeCell ref="S2:U2"/>
    <mergeCell ref="S3:U3"/>
    <mergeCell ref="S8:AA8"/>
    <mergeCell ref="Z24:AA24"/>
    <mergeCell ref="A11:AA11"/>
    <mergeCell ref="B42:AA42"/>
    <mergeCell ref="F25:G25"/>
    <mergeCell ref="B27:AA27"/>
    <mergeCell ref="O3:R3"/>
    <mergeCell ref="Z55:AA55"/>
    <mergeCell ref="Z53:AA53"/>
    <mergeCell ref="C40:F40"/>
    <mergeCell ref="G40:AA40"/>
    <mergeCell ref="B47:O47"/>
    <mergeCell ref="H22:I22"/>
    <mergeCell ref="F22:G22"/>
    <mergeCell ref="O16:P16"/>
    <mergeCell ref="D18:N18"/>
    <mergeCell ref="S21:U21"/>
    <mergeCell ref="S22:U22"/>
    <mergeCell ref="P21:R21"/>
    <mergeCell ref="P22:R22"/>
    <mergeCell ref="C39:AA39"/>
    <mergeCell ref="F24:G24"/>
    <mergeCell ref="J28:M28"/>
    <mergeCell ref="J29:M29"/>
  </mergeCells>
  <phoneticPr fontId="3" type="noConversion"/>
  <printOptions horizontalCentered="1"/>
  <pageMargins left="0.5" right="0.5" top="0.5" bottom="0.5" header="0.25" footer="0.25"/>
  <pageSetup orientation="portrait" horizontalDpi="4294967292" verticalDpi="4294967292" copies="4"/>
  <headerFooter>
    <oddHeader xml:space="preserve">&amp;L&amp;"Lucida Grande,Bold"&amp;K000000&amp;G&amp;C&amp;"Libian SC Regular,Regular"&amp;6&amp;K000000★★★&amp;"Calibri,Regular" ATTACH DEPOSIT RECEIPT HERE &amp;"Libian SC Regular,Regular"★★★&amp;"Calibri,Regular" ATTACH DEPOSIT RECEIPT HERE &amp;"Libian SC Regular,Regular"★★★ </oddHeader>
    <oddFooter>&amp;R&amp;6Printed: &amp;D, &amp;T - Page &amp;P of &amp;N</oddFooter>
  </headerFooter>
  <rowBreaks count="4" manualBreakCount="4">
    <brk id="45" max="16383" man="1"/>
    <brk id="66" max="16383" man="1"/>
    <brk id="92" max="16383" man="1"/>
    <brk id="147" max="16383" man="1"/>
  </rowBreaks>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6157" r:id="rId4" name="Drop Down 13">
              <controlPr defaultSize="0" print="0" autoLine="0" autoPict="0">
                <anchor>
                  <from>
                    <xdr:col>5</xdr:col>
                    <xdr:colOff>25400</xdr:colOff>
                    <xdr:row>27</xdr:row>
                    <xdr:rowOff>165100</xdr:rowOff>
                  </from>
                  <to>
                    <xdr:col>8</xdr:col>
                    <xdr:colOff>241300</xdr:colOff>
                    <xdr:row>29</xdr:row>
                    <xdr:rowOff>25400</xdr:rowOff>
                  </to>
                </anchor>
              </controlPr>
            </control>
          </mc:Choice>
          <mc:Fallback/>
        </mc:AlternateContent>
        <mc:AlternateContent xmlns:mc="http://schemas.openxmlformats.org/markup-compatibility/2006">
          <mc:Choice Requires="x14">
            <control shapeId="6161" r:id="rId5" name="Drop Down 17">
              <controlPr defaultSize="0" print="0" autoLine="0" autoPict="0">
                <anchor>
                  <from>
                    <xdr:col>1</xdr:col>
                    <xdr:colOff>25400</xdr:colOff>
                    <xdr:row>27</xdr:row>
                    <xdr:rowOff>165100</xdr:rowOff>
                  </from>
                  <to>
                    <xdr:col>4</xdr:col>
                    <xdr:colOff>241300</xdr:colOff>
                    <xdr:row>29</xdr:row>
                    <xdr:rowOff>25400</xdr:rowOff>
                  </to>
                </anchor>
              </controlPr>
            </control>
          </mc:Choice>
          <mc:Fallback/>
        </mc:AlternateContent>
        <mc:AlternateContent xmlns:mc="http://schemas.openxmlformats.org/markup-compatibility/2006">
          <mc:Choice Requires="x14">
            <control shapeId="6147" r:id="rId6" name="Drop Down 3">
              <controlPr defaultSize="0" print="0" autoLine="0" autoPict="0">
                <anchor>
                  <from>
                    <xdr:col>24</xdr:col>
                    <xdr:colOff>25400</xdr:colOff>
                    <xdr:row>20</xdr:row>
                    <xdr:rowOff>165100</xdr:rowOff>
                  </from>
                  <to>
                    <xdr:col>26</xdr:col>
                    <xdr:colOff>241300</xdr:colOff>
                    <xdr:row>23</xdr:row>
                    <xdr:rowOff>0</xdr:rowOff>
                  </to>
                </anchor>
              </controlPr>
            </control>
          </mc:Choice>
          <mc:Fallback/>
        </mc:AlternateContent>
        <mc:AlternateContent xmlns:mc="http://schemas.openxmlformats.org/markup-compatibility/2006">
          <mc:Choice Requires="x14">
            <control shapeId="6148" r:id="rId7" name="Drop Down 4">
              <controlPr defaultSize="0" print="0" autoLine="0" autoPict="0">
                <anchor>
                  <from>
                    <xdr:col>21</xdr:col>
                    <xdr:colOff>25400</xdr:colOff>
                    <xdr:row>20</xdr:row>
                    <xdr:rowOff>165100</xdr:rowOff>
                  </from>
                  <to>
                    <xdr:col>23</xdr:col>
                    <xdr:colOff>241300</xdr:colOff>
                    <xdr:row>23</xdr:row>
                    <xdr:rowOff>0</xdr:rowOff>
                  </to>
                </anchor>
              </controlPr>
            </control>
          </mc:Choice>
          <mc:Fallback/>
        </mc:AlternateContent>
        <mc:AlternateContent xmlns:mc="http://schemas.openxmlformats.org/markup-compatibility/2006">
          <mc:Choice Requires="x14">
            <control shapeId="6149" r:id="rId8" name="Drop Down 5">
              <controlPr defaultSize="0" print="0" autoLine="0" autoPict="0">
                <anchor>
                  <from>
                    <xdr:col>18</xdr:col>
                    <xdr:colOff>25400</xdr:colOff>
                    <xdr:row>20</xdr:row>
                    <xdr:rowOff>165100</xdr:rowOff>
                  </from>
                  <to>
                    <xdr:col>20</xdr:col>
                    <xdr:colOff>241300</xdr:colOff>
                    <xdr:row>23</xdr:row>
                    <xdr:rowOff>0</xdr:rowOff>
                  </to>
                </anchor>
              </controlPr>
            </control>
          </mc:Choice>
          <mc:Fallback/>
        </mc:AlternateContent>
        <mc:AlternateContent xmlns:mc="http://schemas.openxmlformats.org/markup-compatibility/2006">
          <mc:Choice Requires="x14">
            <control shapeId="6151" r:id="rId9" name="Drop Down 7">
              <controlPr defaultSize="0" print="0" autoLine="0" autoPict="0">
                <anchor>
                  <from>
                    <xdr:col>15</xdr:col>
                    <xdr:colOff>12700</xdr:colOff>
                    <xdr:row>20</xdr:row>
                    <xdr:rowOff>165100</xdr:rowOff>
                  </from>
                  <to>
                    <xdr:col>17</xdr:col>
                    <xdr:colOff>241300</xdr:colOff>
                    <xdr:row>23</xdr:row>
                    <xdr:rowOff>0</xdr:rowOff>
                  </to>
                </anchor>
              </controlPr>
            </control>
          </mc:Choice>
          <mc:Fallback/>
        </mc:AlternateContent>
        <mc:AlternateContent xmlns:mc="http://schemas.openxmlformats.org/markup-compatibility/2006">
          <mc:Choice Requires="x14">
            <control shapeId="6168" r:id="rId10" name="Drop Down 24">
              <controlPr defaultSize="0" print="0" autoLine="0" autoPict="0">
                <anchor>
                  <from>
                    <xdr:col>12</xdr:col>
                    <xdr:colOff>25400</xdr:colOff>
                    <xdr:row>20</xdr:row>
                    <xdr:rowOff>165100</xdr:rowOff>
                  </from>
                  <to>
                    <xdr:col>14</xdr:col>
                    <xdr:colOff>241300</xdr:colOff>
                    <xdr:row>23</xdr:row>
                    <xdr:rowOff>0</xdr:rowOff>
                  </to>
                </anchor>
              </controlPr>
            </control>
          </mc:Choice>
          <mc:Fallback/>
        </mc:AlternateContent>
        <mc:AlternateContent xmlns:mc="http://schemas.openxmlformats.org/markup-compatibility/2006">
          <mc:Choice Requires="x14">
            <control shapeId="6150" r:id="rId11" name="Drop Down 6">
              <controlPr defaultSize="0" print="0" autoLine="0" autoPict="0">
                <anchor>
                  <from>
                    <xdr:col>9</xdr:col>
                    <xdr:colOff>0</xdr:colOff>
                    <xdr:row>20</xdr:row>
                    <xdr:rowOff>165100</xdr:rowOff>
                  </from>
                  <to>
                    <xdr:col>11</xdr:col>
                    <xdr:colOff>228600</xdr:colOff>
                    <xdr:row>23</xdr:row>
                    <xdr:rowOff>0</xdr:rowOff>
                  </to>
                </anchor>
              </controlPr>
            </control>
          </mc:Choice>
          <mc:Fallback/>
        </mc:AlternateContent>
      </controls>
    </mc:Choice>
    <mc:Fallback/>
  </mc:AlternateContent>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6"/>
  </sheetPr>
  <dimension ref="A1:AI120"/>
  <sheetViews>
    <sheetView view="pageLayout" zoomScaleNormal="150" zoomScalePageLayoutView="150" workbookViewId="0">
      <selection activeCell="B14" sqref="B14:E14"/>
    </sheetView>
  </sheetViews>
  <sheetFormatPr baseColWidth="10" defaultRowHeight="15" x14ac:dyDescent="0"/>
  <cols>
    <col min="1" max="1" width="0.33203125" style="7" customWidth="1"/>
    <col min="2" max="5" width="3.1640625" style="39" customWidth="1"/>
    <col min="6" max="6" width="0.83203125" style="7" customWidth="1"/>
    <col min="7" max="8" width="4" style="7" customWidth="1"/>
    <col min="9" max="9" width="1.33203125" style="7" customWidth="1"/>
    <col min="10" max="11" width="4" style="7" customWidth="1"/>
    <col min="12" max="12" width="1.33203125" style="7" customWidth="1"/>
    <col min="13" max="13" width="4" style="7" customWidth="1"/>
    <col min="14" max="14" width="3.6640625" style="7" customWidth="1"/>
    <col min="15" max="16" width="4.5" style="7" customWidth="1"/>
    <col min="17" max="20" width="4" style="7" customWidth="1"/>
    <col min="21" max="21" width="4.6640625" style="7" customWidth="1"/>
    <col min="22" max="26" width="4" style="7" customWidth="1"/>
    <col min="27" max="16384" width="10.83203125" style="7"/>
  </cols>
  <sheetData>
    <row r="1" spans="1:27" s="10" customFormat="1" ht="2" customHeight="1">
      <c r="A1" s="12"/>
      <c r="B1" s="49"/>
      <c r="C1" s="49"/>
      <c r="D1" s="49"/>
      <c r="E1" s="49"/>
      <c r="F1" s="12"/>
      <c r="G1" s="12"/>
      <c r="H1" s="12"/>
      <c r="I1" s="12"/>
      <c r="J1" s="12"/>
      <c r="K1" s="12"/>
      <c r="L1" s="12"/>
      <c r="M1" s="12"/>
      <c r="N1" s="12"/>
      <c r="O1" s="12"/>
      <c r="P1" s="12"/>
      <c r="Q1" s="12"/>
      <c r="R1" s="12"/>
      <c r="S1" s="12"/>
      <c r="T1" s="12"/>
      <c r="U1" s="12"/>
      <c r="V1" s="12"/>
      <c r="W1" s="12"/>
      <c r="X1" s="12"/>
      <c r="Y1" s="12"/>
      <c r="Z1" s="12"/>
    </row>
    <row r="2" spans="1:27" s="10" customFormat="1" ht="22" customHeight="1">
      <c r="A2" s="17"/>
      <c r="B2" s="16"/>
      <c r="C2" s="16"/>
      <c r="D2" s="16"/>
      <c r="E2" s="16"/>
      <c r="G2" s="538" t="str">
        <f>IF('FACT 1'!D10&gt;0,("  "&amp;'FACT 1'!D10&amp;" (hosted by: "&amp;'FACT 1'!R10&amp;")"), missing description &amp; primary contact entry)</f>
        <v xml:space="preserve">   (hosted by: )</v>
      </c>
      <c r="H2" s="539"/>
      <c r="I2" s="539"/>
      <c r="J2" s="539"/>
      <c r="K2" s="539"/>
      <c r="L2" s="539"/>
      <c r="M2" s="539"/>
      <c r="N2" s="539"/>
      <c r="O2" s="539"/>
      <c r="P2" s="539"/>
      <c r="Q2" s="539"/>
      <c r="R2" s="539"/>
      <c r="S2" s="539"/>
      <c r="T2" s="539"/>
      <c r="U2" s="539"/>
      <c r="V2" s="539"/>
      <c r="W2" s="539"/>
      <c r="X2" s="539"/>
      <c r="Y2" s="539"/>
      <c r="Z2" s="540"/>
      <c r="AA2" s="35"/>
    </row>
    <row r="3" spans="1:27" s="10" customFormat="1">
      <c r="A3" s="17"/>
      <c r="B3" s="50"/>
      <c r="C3" s="50"/>
      <c r="D3" s="50"/>
      <c r="E3" s="16"/>
      <c r="G3" s="17"/>
      <c r="H3" s="17"/>
      <c r="I3" s="17"/>
      <c r="J3" s="17"/>
      <c r="K3" s="17"/>
      <c r="L3" s="17"/>
      <c r="M3" s="17"/>
      <c r="N3" s="17"/>
      <c r="O3" s="569"/>
      <c r="P3" s="569"/>
      <c r="Q3" s="570"/>
      <c r="R3" s="570"/>
      <c r="S3" s="570"/>
      <c r="T3" s="570"/>
      <c r="U3" s="35"/>
      <c r="V3" s="35"/>
      <c r="W3" s="35"/>
      <c r="X3" s="35"/>
      <c r="Y3" s="35"/>
      <c r="Z3" s="35"/>
      <c r="AA3" s="35"/>
    </row>
    <row r="4" spans="1:27" s="10" customFormat="1" ht="15" customHeight="1">
      <c r="A4" s="17"/>
      <c r="B4" s="50"/>
      <c r="C4" s="50"/>
      <c r="D4" s="50"/>
      <c r="E4" s="16"/>
      <c r="G4" s="17"/>
      <c r="H4" s="17"/>
      <c r="I4" s="17"/>
      <c r="J4" s="17"/>
      <c r="K4" s="17"/>
      <c r="L4" s="17"/>
      <c r="M4" s="17"/>
      <c r="N4" s="17"/>
      <c r="O4" s="567"/>
      <c r="P4" s="567"/>
      <c r="Q4" s="570"/>
      <c r="R4" s="570"/>
      <c r="S4" s="570"/>
      <c r="T4" s="570"/>
      <c r="U4" s="35"/>
      <c r="V4" s="35"/>
      <c r="W4" s="35"/>
      <c r="X4" s="35"/>
      <c r="Y4" s="35"/>
      <c r="Z4" s="35"/>
      <c r="AA4" s="35"/>
    </row>
    <row r="5" spans="1:27" s="10" customFormat="1" ht="2" customHeight="1">
      <c r="A5" s="17"/>
      <c r="B5" s="50"/>
      <c r="C5" s="50"/>
      <c r="D5" s="50"/>
      <c r="E5" s="93"/>
      <c r="F5" s="35"/>
      <c r="G5" s="51"/>
      <c r="H5" s="51"/>
      <c r="I5" s="17"/>
      <c r="J5" s="17"/>
      <c r="K5" s="17"/>
      <c r="L5" s="17"/>
      <c r="M5" s="17"/>
      <c r="N5" s="17"/>
      <c r="O5" s="567"/>
      <c r="P5" s="567"/>
      <c r="Q5" s="568"/>
      <c r="R5" s="568"/>
      <c r="S5" s="568"/>
      <c r="T5" s="568"/>
      <c r="U5" s="35"/>
      <c r="V5" s="35"/>
      <c r="W5" s="35"/>
      <c r="X5" s="35"/>
      <c r="Y5" s="35"/>
      <c r="Z5" s="35"/>
      <c r="AA5" s="35"/>
    </row>
    <row r="6" spans="1:27" s="10" customFormat="1" ht="2" customHeight="1">
      <c r="A6" s="338"/>
      <c r="B6" s="338"/>
      <c r="C6" s="338"/>
      <c r="D6" s="338"/>
      <c r="E6" s="338"/>
      <c r="F6" s="338"/>
      <c r="G6" s="338"/>
      <c r="H6" s="338"/>
      <c r="I6" s="338"/>
      <c r="J6" s="338"/>
      <c r="K6" s="338"/>
      <c r="L6" s="338"/>
      <c r="M6" s="338"/>
      <c r="N6" s="338"/>
      <c r="O6" s="338"/>
      <c r="P6" s="338"/>
      <c r="Q6" s="338"/>
      <c r="R6" s="338"/>
      <c r="S6" s="338"/>
      <c r="T6" s="338"/>
      <c r="U6" s="338"/>
      <c r="V6" s="338"/>
      <c r="W6" s="338"/>
      <c r="X6" s="338"/>
      <c r="Y6" s="338"/>
      <c r="Z6" s="338"/>
    </row>
    <row r="7" spans="1:27" s="11" customFormat="1" ht="30" customHeight="1">
      <c r="A7" s="52" t="s">
        <v>56</v>
      </c>
      <c r="B7" s="574" t="s">
        <v>339</v>
      </c>
      <c r="C7" s="575"/>
      <c r="D7" s="575"/>
      <c r="E7" s="576"/>
      <c r="F7" s="53"/>
      <c r="G7" s="54"/>
      <c r="H7" s="54"/>
      <c r="I7" s="54"/>
      <c r="J7" s="54" t="str">
        <f>IF(B23&gt;0,
IF(Z26&gt;0,
(COUNT(B23,B26:Z26))&amp;" Events: "&amp;(CONCATENATE((TEXT($B$23,"DDD"))&amp;", "&amp;(TEXT($B$23,"MMM"))&amp;" "&amp;(TEXT($B$23,"d"))))&amp;" - "&amp;(CONCATENATE((TEXT($Z$26,"DDD"))&amp;", "&amp;(TEXT($Z$26,"MMM"))&amp;" "&amp;(TEXT($Z$26,"d"))&amp;" at "&amp;(TEXT(D23,"h:mm am/pm")))),
IF(X26&gt;0,
(COUNT(B23,B26:X26))&amp;" Events: "&amp;(CONCATENATE((TEXT($B$23,"DDD"))&amp;", "&amp;(TEXT($B$23,"MMM"))&amp;" "&amp;(TEXT($B$23,"d"))))&amp;" - "&amp;(CONCATENATE((TEXT($X$26,"DDD"))&amp;", "&amp;(TEXT($X$26,"MMM"))&amp;" "&amp;(TEXT($X$26,"d"))&amp;" @ "&amp;(TEXT(D23,"h:mm am/pm")))),
IF(V26&gt;0,
(COUNT(B23,B26:V26))&amp;" Events: "&amp;(CONCATENATE((TEXT($B$23,"DDD"))&amp;", "&amp;(TEXT($B$23,"MMM"))&amp;" "&amp;(TEXT($B$23,"d"))))&amp;" - "&amp;(CONCATENATE((TEXT($V$26,"DDD"))&amp;", "&amp;(TEXT($V$26,"MMM"))&amp;" "&amp;(TEXT($V$26,"d"))&amp;" @ "&amp;(TEXT(D23,"h:mm am/pm")))),
IF(T26&gt;0,
(COUNT(B23,B26:T26))&amp;" Events: "&amp;(CONCATENATE((TEXT($B$23,"DDD"))&amp;", "&amp;(TEXT($B$23,"MMM"))&amp;" "&amp;(TEXT($B$23,"d"))))&amp;" - "&amp;(CONCATENATE((TEXT($T$26,"DDD"))&amp;", "&amp;(TEXT($T$26,"MMM"))&amp;" "&amp;(TEXT($T$26,"d"))&amp;" @ "&amp;(TEXT(D23,"h:mm am/pm")))),
IF(R26&gt;0,
(COUNT(B23,B26:R26))&amp;" Events: "&amp;(CONCATENATE((TEXT($B$23,"DDD"))&amp;", "&amp;(TEXT($B$23,"MMM"))&amp;" "&amp;(TEXT($B$23,"d"))))&amp;" - "&amp;(CONCATENATE((TEXT($R$26,"DDD"))&amp;", "&amp;(TEXT($R$26,"MMM"))&amp;" "&amp;(TEXT($R$26,"d"))&amp;" @ "&amp;(TEXT(D23,"h:mm am/pm")))),
IF(P26&gt;0,
(COUNT(B23,B26:P26))&amp;" Events: "&amp;(CONCATENATE((TEXT($B$23,"DDD"))&amp;", "&amp;(TEXT($B$23,"MMM"))&amp;" "&amp;(TEXT($B$23,"d"))))&amp;" - "&amp;(CONCATENATE((TEXT($P$26,"DDD"))&amp;", "&amp;(TEXT($P$26,"MMM"))&amp;" "&amp;(TEXT($P$26,"d"))&amp;" @ "&amp;(TEXT(D23,"h:mm am/pm")))),
IF(N26&gt;0,
(COUNT(B23,B26:N26))&amp;" Events: "&amp;(CONCATENATE((TEXT($B$23,"DDD"))&amp;", "&amp;(TEXT($B$23,"MMM"))&amp;" "&amp;(TEXT($B$23,"d"))))&amp;" - "&amp;(CONCATENATE((TEXT($N$26,"DDD"))&amp;", "&amp;(TEXT($N$26,"MMM"))&amp;" "&amp;(TEXT($N$26,"d"))&amp;" @ "&amp;(TEXT(D23,"h:mm am/pm")))),
IF(L26&gt;0,
(COUNT(B23,B26:L26))&amp;" Events: "&amp;(CONCATENATE((TEXT($B$23,"DDD"))&amp;", "&amp;(TEXT($B$23,"MMM"))&amp;" "&amp;(TEXT($B$23,"d"))))&amp;" - "&amp;(CONCATENATE((TEXT($L$26,"DDD"))&amp;", "&amp;(TEXT($L$26,"MMM"))&amp;" "&amp;(TEXT($L$26,"d"))&amp;" @ "&amp;(TEXT(D23,"h:mm am/pm")))),
IF(J26&gt;0,
(COUNT(B23,B26:J26))&amp;" Events: "&amp;(CONCATENATE((TEXT($B$23,"DDD"))&amp;", "&amp;(TEXT($B$23,"MMM"))&amp;" "&amp;(TEXT($B$23,"d"))))&amp;" - "&amp;(CONCATENATE((TEXT($J$26,"DDD"))&amp;", "&amp;(TEXT($J$26,"MMM"))&amp;" "&amp;(TEXT($J$26,"d"))&amp;" @ "&amp;(TEXT(D23,"h:mm am/pm")))),
IF(H26&gt;0,
(COUNT(B23,B26:H26))&amp;" Events: "&amp;(CONCATENATE((TEXT($B$23,"DDD"))&amp;", "&amp;(TEXT($B$23,"MMM"))&amp;" "&amp;(TEXT($B$23,"d"))))&amp;" - "&amp;(CONCATENATE((TEXT($H$26,"DDD"))&amp;", "&amp;(TEXT($H$26,"MMM"))&amp;" "&amp;(TEXT($H$26,"d"))&amp;" @ "&amp;(TEXT(D23,"h:mm am/pm")))),
IF(F26&gt;0,
(COUNT(B23,B26:F26))&amp;" Events: "&amp;(CONCATENATE((TEXT($B$23,"DDD"))&amp;", "&amp;(TEXT($B$23,"MMM"))&amp;" "&amp;(TEXT($B$23,"d"))))&amp;" - "&amp;(CONCATENATE((TEXT($F$26,"DDD"))&amp;", "&amp;(TEXT($F$26,"MMM"))&amp;" "&amp;(TEXT($F$26,"d"))&amp;" @ "&amp;(TEXT(D23,"h:mm am/pm")))),
IF(D26&gt;0,
(COUNT(B23,B26:D26))&amp;" Events: "&amp;(CONCATENATE((TEXT($B$23,"DDD"))&amp;", "&amp;(TEXT($B$23,"MMM"))&amp;" "&amp;(TEXT($B$23,"d"))))&amp;" - "&amp;(CONCATENATE((TEXT($D$26,"DDD"))&amp;", "&amp;(TEXT($D$26,"MMM"))&amp;" "&amp;(TEXT($D$26,"d"))&amp;" @ "&amp;(TEXT(D23,"h:mm am/pm")))),
IF(B26&gt;0,
(COUNT(B23,B26:D26))&amp;" Events: "&amp;(CONCATENATE((TEXT($B$23,"DDD"))&amp;", "&amp;(TEXT($B$23,"MMM"))&amp;" "&amp;(TEXT($B$23,"d"))))&amp;" - "&amp;(CONCATENATE((TEXT($B$26,"DDD"))&amp;", "&amp;(TEXT($B$26,"MMM"))&amp;" "&amp;(TEXT($B$26,"d"))&amp;" @ "&amp;(TEXT(D23,"h:mm am/pm")))),
(COUNT(B23,B26:B26))&amp;" Event on "&amp;(CONCATENATE((TEXT($B$23,"DDDD"))&amp;", "&amp;(TEXT($B$23,"MMMM"))&amp;" "&amp;(TEXT($B$23,"d"))&amp;" @ "&amp;(TEXT(D23,"h:mm am/pm"))))))))))))))))))</f>
        <v>1 Events: Tue, Jan 3 - rotunda, rotunda rotunda @ 12:00 AM</v>
      </c>
      <c r="K7" s="54"/>
      <c r="L7" s="54"/>
      <c r="M7" s="54"/>
      <c r="N7" s="54"/>
      <c r="O7" s="54"/>
      <c r="P7" s="54"/>
      <c r="Q7" s="54"/>
      <c r="R7" s="54"/>
      <c r="S7" s="54"/>
      <c r="T7" s="54"/>
      <c r="U7" s="54"/>
      <c r="V7" s="54"/>
      <c r="W7" s="53"/>
      <c r="X7" s="53"/>
      <c r="Y7" s="53"/>
      <c r="Z7" s="53"/>
      <c r="AA7" s="53"/>
    </row>
    <row r="8" spans="1:27" s="10" customFormat="1" ht="5" customHeight="1">
      <c r="A8" s="577"/>
      <c r="B8" s="577"/>
      <c r="C8" s="577"/>
      <c r="D8" s="577"/>
      <c r="E8" s="577"/>
      <c r="F8" s="577"/>
      <c r="G8" s="577"/>
      <c r="H8" s="577"/>
      <c r="I8" s="577"/>
      <c r="J8" s="577"/>
      <c r="K8" s="577"/>
      <c r="L8" s="577"/>
      <c r="M8" s="577"/>
      <c r="N8" s="577"/>
      <c r="O8" s="577"/>
      <c r="P8" s="577"/>
      <c r="Q8" s="577"/>
      <c r="R8" s="577"/>
      <c r="S8" s="577"/>
      <c r="T8" s="577"/>
      <c r="U8" s="577"/>
      <c r="V8" s="577"/>
      <c r="W8" s="577"/>
      <c r="X8" s="577"/>
      <c r="Y8" s="577"/>
      <c r="Z8" s="577"/>
    </row>
    <row r="9" spans="1:27" s="11" customFormat="1" ht="21" customHeight="1">
      <c r="A9" s="80"/>
      <c r="B9" s="578" t="s">
        <v>113</v>
      </c>
      <c r="C9" s="579"/>
      <c r="D9" s="579"/>
      <c r="E9" s="580"/>
      <c r="F9" s="80"/>
      <c r="G9" s="80"/>
      <c r="H9" s="80"/>
      <c r="I9" s="80"/>
      <c r="J9" s="80"/>
      <c r="K9" s="80"/>
      <c r="L9" s="80"/>
      <c r="M9" s="80"/>
      <c r="N9" s="81" t="s">
        <v>281</v>
      </c>
      <c r="O9" s="80"/>
      <c r="P9" s="80"/>
      <c r="Q9" s="80"/>
      <c r="R9" s="80"/>
      <c r="S9" s="80"/>
      <c r="T9" s="80"/>
      <c r="U9" s="80"/>
      <c r="V9" s="80"/>
      <c r="W9" s="80"/>
      <c r="X9" s="80"/>
      <c r="Y9" s="80"/>
      <c r="Z9" s="80"/>
    </row>
    <row r="10" spans="1:27" s="10" customFormat="1" ht="21" customHeight="1">
      <c r="A10" s="55"/>
      <c r="B10" s="581" t="str">
        <f>IF((COUNT(AGREEMENT!B22,AGREEMENT!B25:AA25))&gt;1,"S-"&amp;IF(AGREEMENT!$B22&gt;0,(CONCATENATE(TEXT('FACT 1'!$B$102,"yymmdd"),'FACT 1'!$F$102,'FACT 1'!$AC$102,AGREEMENT!Z126))," "),IF(AGREEMENT!$B22&gt;0,(CONCATENATE(TEXT('FACT 1'!$B$102,"yymmdd"),'FACT 1'!$F$102,'FACT 1'!$AC$102,AGREEMENT!Z126)),""))</f>
        <v>160621LRTCC</v>
      </c>
      <c r="C10" s="582"/>
      <c r="D10" s="582"/>
      <c r="E10" s="583"/>
      <c r="F10" s="79"/>
      <c r="G10" s="79"/>
      <c r="H10" s="79"/>
      <c r="I10" s="79"/>
      <c r="J10" s="79"/>
      <c r="K10" s="79"/>
      <c r="L10" s="79"/>
      <c r="M10" s="79"/>
      <c r="N10" s="79"/>
      <c r="O10" s="79"/>
      <c r="P10" s="79"/>
      <c r="Q10" s="79"/>
      <c r="R10" s="79"/>
      <c r="S10" s="79"/>
      <c r="T10" s="79"/>
      <c r="U10" s="79"/>
      <c r="V10" s="79"/>
      <c r="W10" s="79"/>
      <c r="X10" s="79"/>
      <c r="Y10" s="79"/>
      <c r="Z10" s="79"/>
      <c r="AA10" s="23"/>
    </row>
    <row r="11" spans="1:27" s="10" customFormat="1" ht="3" customHeight="1">
      <c r="A11" s="55"/>
      <c r="B11" s="100"/>
      <c r="C11" s="100"/>
      <c r="D11" s="100"/>
      <c r="E11" s="100"/>
      <c r="F11" s="79"/>
      <c r="G11" s="79"/>
      <c r="H11" s="79"/>
      <c r="I11" s="79"/>
      <c r="J11" s="79"/>
      <c r="K11" s="79"/>
      <c r="L11" s="79"/>
      <c r="M11" s="79"/>
      <c r="N11" s="79"/>
      <c r="O11" s="79"/>
      <c r="P11" s="79"/>
      <c r="Q11" s="79"/>
      <c r="R11" s="79"/>
      <c r="S11" s="79"/>
      <c r="T11" s="79"/>
      <c r="U11" s="79"/>
      <c r="V11" s="79"/>
      <c r="W11" s="79"/>
      <c r="X11" s="79"/>
      <c r="Y11" s="79"/>
      <c r="Z11" s="55"/>
    </row>
    <row r="12" spans="1:27" s="10" customFormat="1" ht="21" customHeight="1">
      <c r="A12" s="94"/>
      <c r="B12" s="547" t="str">
        <f>IF((COUNT(AGREEMENT!B22,AGREEMENT!B25:AA25))&gt;1,"Date Range","Date")</f>
        <v>Date</v>
      </c>
      <c r="C12" s="548"/>
      <c r="D12" s="548"/>
      <c r="E12" s="549"/>
      <c r="F12" s="79"/>
      <c r="G12" s="79"/>
      <c r="H12" s="79"/>
      <c r="I12" s="79"/>
      <c r="J12" s="79"/>
      <c r="K12" s="79"/>
      <c r="L12" s="79"/>
      <c r="M12" s="79"/>
      <c r="N12" s="79"/>
      <c r="O12" s="79"/>
      <c r="P12" s="79"/>
      <c r="Q12" s="79"/>
      <c r="R12" s="79"/>
      <c r="S12" s="79"/>
      <c r="T12" s="79"/>
      <c r="U12" s="79"/>
      <c r="V12" s="79"/>
      <c r="W12" s="79"/>
      <c r="X12" s="79"/>
      <c r="Y12" s="79"/>
      <c r="Z12" s="94"/>
    </row>
    <row r="13" spans="1:27" s="95" customFormat="1" ht="21" customHeight="1">
      <c r="B13" s="561" t="str">
        <f>IF((COUNT(AGREEMENT!B22,AGREEMENT!B25:AA25))&gt;1,(TEXT(AGREEMENT!B22,"m/d/yy")),(TEXT(AGREEMENT!B22,"dddd")))</f>
        <v>Tuesday</v>
      </c>
      <c r="C13" s="562"/>
      <c r="D13" s="562"/>
      <c r="E13" s="563"/>
      <c r="F13" s="82"/>
      <c r="G13" s="82"/>
      <c r="H13" s="82"/>
      <c r="I13" s="82"/>
      <c r="J13" s="82"/>
      <c r="K13" s="82"/>
      <c r="L13" s="82"/>
      <c r="M13" s="82"/>
      <c r="N13" s="82"/>
      <c r="O13" s="83" t="s">
        <v>280</v>
      </c>
      <c r="P13" s="78"/>
      <c r="Q13" s="78"/>
      <c r="R13" s="78"/>
      <c r="S13" s="78"/>
      <c r="T13" s="78"/>
      <c r="U13" s="78"/>
      <c r="V13" s="78"/>
      <c r="W13" s="78"/>
      <c r="X13" s="78"/>
      <c r="Y13" s="78"/>
    </row>
    <row r="14" spans="1:27" s="38" customFormat="1" ht="21" customHeight="1">
      <c r="B14" s="564" t="str">
        <f>IF((COUNT(AGREEMENT!B22,AGREEMENT!B25:AA25))&gt;1,"to",(TEXT('FACT 1'!B19,"mmmm d")))</f>
        <v>June 21</v>
      </c>
      <c r="C14" s="565"/>
      <c r="D14" s="565"/>
      <c r="E14" s="566"/>
      <c r="F14" s="78"/>
      <c r="G14" s="78"/>
      <c r="H14" s="78"/>
      <c r="I14" s="78"/>
      <c r="J14" s="78"/>
      <c r="K14" s="78"/>
      <c r="L14" s="78"/>
      <c r="M14" s="78"/>
      <c r="N14" s="78"/>
      <c r="O14" s="78"/>
      <c r="P14" s="78"/>
      <c r="Q14" s="78"/>
      <c r="R14" s="78"/>
      <c r="S14" s="78"/>
      <c r="T14" s="78"/>
      <c r="U14" s="78"/>
      <c r="V14" s="78"/>
      <c r="W14" s="78"/>
      <c r="X14" s="78"/>
      <c r="Y14" s="78"/>
    </row>
    <row r="15" spans="1:27" s="38" customFormat="1" ht="21" customHeight="1">
      <c r="B15" s="584" t="str">
        <f>IF((COUNT(AGREEMENT!B22,AGREEMENT!B25:AA25))&gt;1,IF(AGREEMENT!B22&gt;0,
IF(AGREEMENT!Z25&gt;0,
((TEXT(AGREEMENT!Z25,"m/d/yy"))),
IF(AGREEMENT!X25&gt;0,
((TEXT(AGREEMENT!X25,"m/d/yy"))),
IF(AGREEMENT!V25&gt;0,
((TEXT(AGREEMENT!V25,"m/d/yy"))),
IF(AGREEMENT!T25&gt;0,
((TEXT(AGREEMENT!T25,"m/d/yy"))),
IF(AGREEMENT!R25&gt;0,
((TEXT(AGREEMENT!R25,"m/d/yy"))),
IF(AGREEMENT!P25&gt;0,
((TEXT(AGREEMENT!P25,"m/d/yy"))),
IF(AGREEMENT!N25&gt;0,
((TEXT(AGREEMENT!N25,"m/d/yy"))),
IF(AGREEMENT!L25&gt;0,
((TEXT(AGREEMENT!L25,"m/d/yy"))),
IF(AGREEMENT!J25&gt;0,
((TEXT(AGREEMENT!J25,"m/d/yy"))),
IF(AGREEMENT!H25&gt;0,
((TEXT(AGREEMENT!H25,"m/d/yy"))),
IF(AGREEMENT!F25&gt;0,
((TEXT(AGREEMENT!F25,"m/d/yy"))),
IF(AGREEMENT!D25&gt;0,
((TEXT(AGREEMENT!D25,"m/d/yy"))),
IF(AGREEMENT!B25&gt;0,
((TEXT(AGREEMENT!B25,"m/d/yy"))),
(TEXT(AGREEMENT!B22,"m/d/yy")))))))))))))))),
(TEXT(AGREEMENT!B22,"yyyy")))</f>
        <v>2016</v>
      </c>
      <c r="C15" s="585"/>
      <c r="D15" s="585"/>
      <c r="E15" s="586"/>
      <c r="F15" s="78"/>
      <c r="G15" s="78"/>
      <c r="H15" s="78"/>
      <c r="I15" s="78"/>
      <c r="J15" s="78"/>
      <c r="K15" s="78"/>
      <c r="L15" s="78"/>
      <c r="M15" s="78"/>
      <c r="N15" s="78"/>
      <c r="O15" s="78"/>
      <c r="P15" s="78"/>
      <c r="Q15" s="78"/>
      <c r="R15" s="78"/>
      <c r="S15" s="78"/>
      <c r="T15" s="78"/>
      <c r="U15" s="78"/>
      <c r="V15" s="78"/>
      <c r="W15" s="78"/>
      <c r="X15" s="78"/>
      <c r="Y15" s="78"/>
    </row>
    <row r="16" spans="1:27" s="38" customFormat="1" ht="3" customHeight="1">
      <c r="B16" s="101"/>
      <c r="C16" s="101"/>
      <c r="D16" s="101"/>
      <c r="E16" s="101"/>
      <c r="F16" s="78"/>
      <c r="G16" s="78"/>
      <c r="H16" s="78"/>
      <c r="I16" s="78"/>
      <c r="J16" s="78"/>
      <c r="K16" s="78"/>
      <c r="L16" s="78"/>
      <c r="M16" s="78"/>
      <c r="N16" s="78"/>
      <c r="O16" s="78"/>
      <c r="P16" s="78"/>
      <c r="Q16" s="78"/>
      <c r="R16" s="78"/>
      <c r="S16" s="78"/>
      <c r="T16" s="78"/>
      <c r="U16" s="78"/>
      <c r="V16" s="78"/>
      <c r="W16" s="78"/>
      <c r="X16" s="78"/>
      <c r="Y16" s="78"/>
    </row>
    <row r="17" spans="2:5" s="38" customFormat="1" ht="21" customHeight="1">
      <c r="B17" s="547" t="s">
        <v>337</v>
      </c>
      <c r="C17" s="548"/>
      <c r="D17" s="548"/>
      <c r="E17" s="549"/>
    </row>
    <row r="18" spans="2:5" s="82" customFormat="1" ht="21" customHeight="1">
      <c r="B18" s="541" t="str">
        <f>IF('FACT 1'!F19&gt;-1,(CONCATENATE(TEXT('FACT 1'!F19,"h:mm am/pm"))),"unknown")</f>
        <v>12:30 PM</v>
      </c>
      <c r="C18" s="542"/>
      <c r="D18" s="542"/>
      <c r="E18" s="543"/>
    </row>
    <row r="19" spans="2:5" s="38" customFormat="1" ht="21" customHeight="1">
      <c r="B19" s="541" t="s">
        <v>110</v>
      </c>
      <c r="C19" s="542"/>
      <c r="D19" s="542"/>
      <c r="E19" s="543"/>
    </row>
    <row r="20" spans="2:5" s="38" customFormat="1" ht="21" customHeight="1">
      <c r="B20" s="556" t="str">
        <f>IF('FACT 1'!F19&gt;-1,(CONCATENATE(TEXT('FACT 1'!J19,"h:mm am/pm"))),"unknown")</f>
        <v>3:30 PM</v>
      </c>
      <c r="C20" s="590"/>
      <c r="D20" s="590"/>
      <c r="E20" s="591"/>
    </row>
    <row r="21" spans="2:5" s="71" customFormat="1" ht="3" customHeight="1">
      <c r="B21" s="102"/>
      <c r="C21" s="102"/>
      <c r="D21" s="102"/>
      <c r="E21" s="102"/>
    </row>
    <row r="22" spans="2:5" s="82" customFormat="1" ht="21" customHeight="1">
      <c r="B22" s="547" t="s">
        <v>336</v>
      </c>
      <c r="C22" s="548"/>
      <c r="D22" s="548"/>
      <c r="E22" s="549"/>
    </row>
    <row r="23" spans="2:5" s="38" customFormat="1" ht="21" customHeight="1">
      <c r="B23" s="550">
        <f>IF((('FACT 1'!J19-'FACT 1'!F19)*24)&lt;1.01,((('FACT 1'!J19-'FACT 1'!F19)*24)),((('FACT 1'!J19-'FACT 1'!F19)*24)))</f>
        <v>3</v>
      </c>
      <c r="C23" s="551"/>
      <c r="D23" s="551"/>
      <c r="E23" s="552"/>
    </row>
    <row r="24" spans="2:5" s="38" customFormat="1" ht="3" customHeight="1">
      <c r="B24" s="102"/>
      <c r="C24" s="102"/>
      <c r="D24" s="102"/>
      <c r="E24" s="102"/>
    </row>
    <row r="25" spans="2:5" s="38" customFormat="1" ht="21" customHeight="1">
      <c r="B25" s="553" t="s">
        <v>334</v>
      </c>
      <c r="C25" s="554"/>
      <c r="D25" s="554"/>
      <c r="E25" s="555"/>
    </row>
    <row r="26" spans="2:5" s="38" customFormat="1" ht="21" customHeight="1">
      <c r="B26" s="556" t="str">
        <f>IF('FACT 1'!AB102=1,'FACT 1'!T92,IF('FACT 1'!AB102=2,'FACT 1'!T93,IF('FACT 1'!AB102=3,'FACT 1'!T94,IF('FACT 1'!AB102=4,'FACT 1'!T95,IF('FACT 1'!AB102=5,'FACT 1'!T96,IF('FACT 1'!AB102=6,'FACT 1'!T97,IF('FACT 1'!AB102=7,'FACT 1'!T98,IF('FACT 1'!AB102=8,'FACT 1'!T99,IF('FACT 1'!AB102=9,'FACT 1'!T100,"")))))))))</f>
        <v>rotunda</v>
      </c>
      <c r="C26" s="545"/>
      <c r="D26" s="545"/>
      <c r="E26" s="546"/>
    </row>
    <row r="27" spans="2:5" s="38" customFormat="1" ht="3" customHeight="1">
      <c r="B27" s="102"/>
      <c r="C27" s="103"/>
      <c r="D27" s="103"/>
      <c r="E27" s="103"/>
    </row>
    <row r="28" spans="2:5" s="71" customFormat="1" ht="21" customHeight="1">
      <c r="B28" s="553" t="s">
        <v>338</v>
      </c>
      <c r="C28" s="554"/>
      <c r="D28" s="554"/>
      <c r="E28" s="555"/>
    </row>
    <row r="29" spans="2:5" s="38" customFormat="1" ht="21" customHeight="1">
      <c r="B29" s="557">
        <f>IF(AGREEMENT!W29&gt;0,AGREEMENT!W29,"")</f>
        <v>800</v>
      </c>
      <c r="C29" s="558"/>
      <c r="D29" s="558"/>
      <c r="E29" s="559"/>
    </row>
    <row r="30" spans="2:5" s="38" customFormat="1" ht="3" customHeight="1">
      <c r="B30" s="102"/>
      <c r="C30" s="103"/>
      <c r="D30" s="103"/>
      <c r="E30" s="103"/>
    </row>
    <row r="31" spans="2:5" s="38" customFormat="1" ht="21" customHeight="1">
      <c r="B31" s="560" t="s">
        <v>232</v>
      </c>
      <c r="C31" s="548"/>
      <c r="D31" s="548"/>
      <c r="E31" s="549"/>
    </row>
    <row r="32" spans="2:5" s="38" customFormat="1" ht="21" customHeight="1">
      <c r="B32" s="556">
        <f>IF(AGREEMENT!R29&gt;0,AGREEMENT!R29,"")</f>
        <v>18</v>
      </c>
      <c r="C32" s="545"/>
      <c r="D32" s="545"/>
      <c r="E32" s="546"/>
    </row>
    <row r="33" spans="1:35" s="71" customFormat="1" ht="3" customHeight="1">
      <c r="B33" s="102"/>
      <c r="C33" s="103"/>
      <c r="D33" s="103"/>
      <c r="E33" s="103"/>
    </row>
    <row r="34" spans="1:35" s="38" customFormat="1" ht="21" customHeight="1">
      <c r="B34" s="547" t="s">
        <v>111</v>
      </c>
      <c r="C34" s="548"/>
      <c r="D34" s="548"/>
      <c r="E34" s="549"/>
    </row>
    <row r="35" spans="1:35" s="82" customFormat="1" ht="21" customHeight="1">
      <c r="B35" s="544" t="str">
        <f>IF('FACT 1'!W102=1,'FACT 1'!B93,IF('FACT 1'!W102=2,'FACT 1'!B94,IF('FACT 1'!W102=3,'FACT 1'!B95,IF('FACT 1'!W102=4,'FACT 1'!B96,IF('FACT 1'!W102=5,'FACT 1'!B97,IF('FACT 1'!W102=6,'FACT 1'!B98,IF('FACT 1'!W102=7,'FACT 1'!B99,"")))))))</f>
        <v>plated</v>
      </c>
      <c r="C35" s="545"/>
      <c r="D35" s="545"/>
      <c r="E35" s="546"/>
      <c r="AG35" s="86"/>
      <c r="AH35" s="86"/>
      <c r="AI35" s="86"/>
    </row>
    <row r="36" spans="1:35" s="38" customFormat="1" ht="3" customHeight="1">
      <c r="B36" s="103"/>
      <c r="C36" s="103"/>
      <c r="D36" s="103"/>
      <c r="E36" s="103"/>
      <c r="V36" s="38" t="s">
        <v>21</v>
      </c>
      <c r="AG36" s="56"/>
      <c r="AH36" s="56"/>
      <c r="AI36" s="56"/>
    </row>
    <row r="37" spans="1:35" s="38" customFormat="1" ht="21" customHeight="1">
      <c r="B37" s="547" t="s">
        <v>112</v>
      </c>
      <c r="C37" s="548"/>
      <c r="D37" s="548"/>
      <c r="E37" s="549"/>
    </row>
    <row r="38" spans="1:35" s="38" customFormat="1" ht="21" customHeight="1">
      <c r="B38" s="544" t="str">
        <f>IF('FACT 1'!T102=1,'FACT 1'!D93,IF('FACT 1'!T102=2,'FACT 1'!D94,IF('FACT 1'!T102=3,'FACT 1'!D95,IF('FACT 1'!T102=4,'FACT 1'!D96,IF('FACT 1'!T102=5,'FACT 1'!D97,IF('FACT 1'!T102=6,'FACT 1'!D98,IF('FACT 1'!T102=7,'FACT 1'!D99,IF('FACT 1'!T102=8,'FACT 1'!D100,IF('FACT 1'!T102=9,'FACT 1'!D101,IF('FACT 1'!T102=10,'FACT 1'!D102,IF('FACT 1'!T102=11,'FACT 1'!D103,IF('FACT 1'!T102=12,'FACT 1'!D104,IF('FACT 1'!T102=13,'FACT 1'!D105,"")))))))))))))</f>
        <v>none</v>
      </c>
      <c r="C38" s="545"/>
      <c r="D38" s="545"/>
      <c r="E38" s="546"/>
    </row>
    <row r="39" spans="1:35" s="38" customFormat="1" ht="3" customHeight="1">
      <c r="B39" s="99"/>
      <c r="C39" s="99"/>
      <c r="D39" s="99"/>
      <c r="E39" s="99"/>
    </row>
    <row r="40" spans="1:35" s="38" customFormat="1" ht="21" customHeight="1">
      <c r="B40" s="587" t="s">
        <v>335</v>
      </c>
      <c r="C40" s="588"/>
      <c r="D40" s="588"/>
      <c r="E40" s="589"/>
    </row>
    <row r="41" spans="1:35" s="11" customFormat="1" ht="21" customHeight="1">
      <c r="B41" s="557" t="str">
        <f>CONCATENATE(AGREEMENT!J22,", ",'FACT 1'!V19)</f>
        <v>semi-private, casual</v>
      </c>
      <c r="C41" s="558"/>
      <c r="D41" s="558"/>
      <c r="E41" s="559"/>
    </row>
    <row r="42" spans="1:35" s="11" customFormat="1" ht="4" customHeight="1">
      <c r="B42" s="104"/>
      <c r="C42" s="104"/>
      <c r="D42" s="104"/>
      <c r="E42" s="104"/>
      <c r="F42" s="320"/>
    </row>
    <row r="43" spans="1:35" s="319" customFormat="1" ht="74" customHeight="1">
      <c r="A43" s="320"/>
      <c r="B43" s="571" t="s">
        <v>371</v>
      </c>
      <c r="C43" s="572"/>
      <c r="D43" s="572"/>
      <c r="E43" s="573"/>
      <c r="F43" s="320"/>
    </row>
    <row r="44" spans="1:35" s="10" customFormat="1" ht="2" customHeight="1">
      <c r="B44"/>
      <c r="C44"/>
      <c r="D44"/>
      <c r="E44"/>
      <c r="F44"/>
      <c r="G44"/>
      <c r="H44"/>
      <c r="I44"/>
      <c r="J44"/>
      <c r="K44"/>
      <c r="L44"/>
      <c r="M44"/>
      <c r="N44"/>
      <c r="O44"/>
      <c r="P44"/>
      <c r="Q44"/>
      <c r="R44"/>
      <c r="S44"/>
      <c r="T44"/>
      <c r="U44"/>
      <c r="V44"/>
      <c r="W44"/>
      <c r="X44"/>
      <c r="Y44"/>
      <c r="Z44"/>
      <c r="AA44"/>
    </row>
    <row r="45" spans="1:35" s="10" customFormat="1" ht="25" customHeight="1">
      <c r="B45"/>
      <c r="C45"/>
      <c r="D45"/>
      <c r="E45"/>
      <c r="F45"/>
      <c r="G45"/>
      <c r="H45"/>
      <c r="I45"/>
      <c r="J45"/>
      <c r="K45"/>
      <c r="L45"/>
      <c r="M45"/>
      <c r="N45"/>
      <c r="O45"/>
      <c r="P45"/>
      <c r="Q45"/>
      <c r="R45"/>
      <c r="S45"/>
      <c r="T45"/>
      <c r="U45"/>
      <c r="V45"/>
      <c r="W45"/>
      <c r="X45"/>
      <c r="Y45"/>
      <c r="Z45"/>
      <c r="AA45"/>
    </row>
    <row r="46" spans="1:35" s="76" customFormat="1" ht="16" customHeight="1">
      <c r="B46"/>
      <c r="C46"/>
      <c r="D46"/>
      <c r="E46"/>
      <c r="F46"/>
      <c r="G46"/>
      <c r="H46"/>
      <c r="I46"/>
      <c r="J46"/>
      <c r="K46"/>
      <c r="L46"/>
      <c r="M46"/>
      <c r="N46"/>
      <c r="O46"/>
      <c r="P46"/>
      <c r="Q46"/>
      <c r="R46"/>
      <c r="S46"/>
      <c r="T46"/>
      <c r="U46"/>
      <c r="V46"/>
      <c r="W46"/>
      <c r="X46"/>
      <c r="Y46"/>
      <c r="Z46"/>
      <c r="AA46"/>
    </row>
    <row r="47" spans="1:35" s="10" customFormat="1" ht="3" customHeight="1">
      <c r="B47"/>
      <c r="C47"/>
      <c r="D47"/>
      <c r="E47"/>
      <c r="F47"/>
      <c r="G47"/>
      <c r="H47"/>
      <c r="I47"/>
      <c r="J47"/>
      <c r="K47"/>
      <c r="L47"/>
      <c r="M47"/>
      <c r="N47"/>
      <c r="O47"/>
      <c r="P47"/>
      <c r="Q47"/>
      <c r="R47"/>
      <c r="S47"/>
      <c r="T47"/>
      <c r="U47"/>
      <c r="V47"/>
      <c r="W47"/>
      <c r="X47"/>
      <c r="Y47"/>
      <c r="Z47"/>
      <c r="AA47"/>
    </row>
    <row r="48" spans="1:35">
      <c r="B48"/>
      <c r="C48"/>
      <c r="D48"/>
      <c r="E48"/>
      <c r="F48"/>
      <c r="G48"/>
      <c r="H48"/>
      <c r="I48"/>
      <c r="J48"/>
      <c r="K48"/>
      <c r="L48"/>
      <c r="M48"/>
      <c r="N48"/>
      <c r="O48"/>
      <c r="P48"/>
      <c r="Q48"/>
      <c r="R48"/>
      <c r="S48"/>
      <c r="T48"/>
      <c r="U48"/>
      <c r="V48"/>
      <c r="W48"/>
      <c r="X48"/>
      <c r="Y48"/>
      <c r="Z48"/>
      <c r="AA48"/>
    </row>
    <row r="49" spans="2:27">
      <c r="B49"/>
      <c r="C49"/>
      <c r="D49"/>
      <c r="E49"/>
      <c r="F49"/>
      <c r="G49"/>
      <c r="H49"/>
      <c r="I49"/>
      <c r="J49"/>
      <c r="K49"/>
      <c r="L49"/>
      <c r="M49"/>
      <c r="N49"/>
      <c r="O49"/>
      <c r="P49"/>
      <c r="Q49"/>
      <c r="R49"/>
      <c r="S49"/>
      <c r="T49"/>
      <c r="U49"/>
      <c r="V49"/>
      <c r="W49"/>
      <c r="X49"/>
      <c r="Y49"/>
      <c r="Z49"/>
      <c r="AA49"/>
    </row>
    <row r="50" spans="2:27">
      <c r="B50"/>
      <c r="C50"/>
      <c r="D50"/>
      <c r="E50"/>
      <c r="F50"/>
      <c r="G50"/>
      <c r="H50"/>
      <c r="I50"/>
      <c r="J50"/>
      <c r="K50"/>
      <c r="L50"/>
      <c r="M50"/>
      <c r="N50"/>
      <c r="O50"/>
      <c r="P50"/>
      <c r="Q50"/>
      <c r="R50"/>
      <c r="S50"/>
      <c r="T50"/>
      <c r="U50"/>
      <c r="V50"/>
      <c r="W50"/>
      <c r="X50"/>
      <c r="Y50"/>
      <c r="Z50"/>
      <c r="AA50"/>
    </row>
    <row r="51" spans="2:27">
      <c r="B51"/>
      <c r="C51"/>
      <c r="D51"/>
      <c r="E51"/>
      <c r="F51"/>
      <c r="G51"/>
      <c r="H51"/>
      <c r="I51"/>
      <c r="J51"/>
      <c r="K51"/>
      <c r="L51"/>
      <c r="M51"/>
      <c r="N51"/>
      <c r="O51"/>
      <c r="P51"/>
      <c r="Q51"/>
      <c r="R51"/>
      <c r="S51"/>
      <c r="T51"/>
      <c r="U51"/>
      <c r="V51"/>
      <c r="W51"/>
      <c r="X51"/>
      <c r="Y51"/>
      <c r="Z51"/>
      <c r="AA51"/>
    </row>
    <row r="52" spans="2:27">
      <c r="B52"/>
      <c r="C52"/>
      <c r="D52"/>
      <c r="E52"/>
      <c r="F52"/>
      <c r="G52"/>
      <c r="H52"/>
      <c r="I52"/>
      <c r="J52"/>
      <c r="K52"/>
      <c r="L52"/>
      <c r="M52"/>
      <c r="N52"/>
      <c r="O52"/>
      <c r="P52"/>
      <c r="Q52"/>
      <c r="R52"/>
      <c r="S52"/>
      <c r="T52"/>
      <c r="U52"/>
      <c r="V52"/>
      <c r="W52"/>
      <c r="X52"/>
      <c r="Y52"/>
      <c r="Z52"/>
      <c r="AA52"/>
    </row>
    <row r="53" spans="2:27">
      <c r="B53"/>
      <c r="C53"/>
      <c r="D53"/>
      <c r="E53"/>
      <c r="F53"/>
      <c r="G53"/>
      <c r="H53"/>
      <c r="I53"/>
      <c r="J53"/>
      <c r="K53"/>
      <c r="L53"/>
      <c r="M53"/>
      <c r="N53"/>
      <c r="O53"/>
      <c r="P53"/>
      <c r="Q53"/>
      <c r="R53"/>
      <c r="S53"/>
      <c r="T53"/>
      <c r="U53"/>
      <c r="V53"/>
      <c r="W53"/>
      <c r="X53"/>
      <c r="Y53"/>
      <c r="Z53"/>
      <c r="AA53"/>
    </row>
    <row r="54" spans="2:27">
      <c r="B54"/>
      <c r="C54"/>
      <c r="D54"/>
      <c r="E54"/>
      <c r="F54"/>
      <c r="G54"/>
      <c r="H54"/>
      <c r="I54"/>
      <c r="J54"/>
      <c r="K54"/>
      <c r="L54"/>
      <c r="M54"/>
      <c r="N54"/>
      <c r="O54"/>
      <c r="P54"/>
      <c r="Q54"/>
      <c r="R54"/>
      <c r="S54"/>
      <c r="T54"/>
      <c r="U54"/>
      <c r="V54"/>
      <c r="W54"/>
      <c r="X54"/>
      <c r="Y54"/>
      <c r="Z54"/>
      <c r="AA54"/>
    </row>
    <row r="55" spans="2:27">
      <c r="B55"/>
      <c r="C55"/>
      <c r="D55"/>
      <c r="E55"/>
      <c r="F55"/>
      <c r="G55"/>
      <c r="H55"/>
      <c r="I55"/>
      <c r="J55"/>
      <c r="K55"/>
      <c r="L55"/>
      <c r="M55"/>
      <c r="N55"/>
      <c r="O55"/>
      <c r="P55"/>
      <c r="Q55"/>
      <c r="R55"/>
      <c r="S55"/>
      <c r="T55"/>
      <c r="U55"/>
      <c r="V55"/>
      <c r="W55"/>
      <c r="X55"/>
      <c r="Y55"/>
      <c r="Z55"/>
      <c r="AA55"/>
    </row>
    <row r="56" spans="2:27">
      <c r="B56"/>
      <c r="C56"/>
      <c r="D56"/>
      <c r="E56"/>
      <c r="F56"/>
      <c r="G56"/>
      <c r="H56"/>
      <c r="I56"/>
      <c r="J56"/>
      <c r="K56"/>
      <c r="L56"/>
      <c r="M56"/>
      <c r="N56"/>
      <c r="O56"/>
      <c r="P56"/>
      <c r="Q56"/>
      <c r="R56"/>
      <c r="S56"/>
      <c r="T56"/>
      <c r="U56"/>
      <c r="V56"/>
      <c r="W56"/>
      <c r="X56"/>
      <c r="Y56"/>
      <c r="Z56"/>
      <c r="AA56"/>
    </row>
    <row r="57" spans="2:27">
      <c r="B57"/>
      <c r="C57"/>
      <c r="D57"/>
      <c r="E57"/>
      <c r="F57"/>
      <c r="G57"/>
      <c r="H57"/>
      <c r="I57"/>
      <c r="J57"/>
      <c r="K57"/>
      <c r="L57"/>
      <c r="M57"/>
      <c r="N57"/>
      <c r="O57"/>
      <c r="P57"/>
      <c r="Q57"/>
      <c r="R57"/>
      <c r="S57"/>
      <c r="T57"/>
      <c r="U57"/>
      <c r="V57"/>
      <c r="W57"/>
      <c r="X57"/>
      <c r="Y57"/>
      <c r="Z57"/>
      <c r="AA57"/>
    </row>
    <row r="58" spans="2:27" ht="5" customHeight="1">
      <c r="B58"/>
      <c r="C58"/>
      <c r="D58"/>
      <c r="E58"/>
      <c r="F58"/>
      <c r="G58"/>
      <c r="H58"/>
      <c r="I58"/>
      <c r="J58"/>
      <c r="K58"/>
      <c r="L58"/>
      <c r="M58"/>
      <c r="N58"/>
      <c r="O58"/>
      <c r="P58"/>
      <c r="Q58"/>
      <c r="R58"/>
      <c r="S58"/>
      <c r="T58"/>
      <c r="U58"/>
      <c r="V58"/>
      <c r="W58"/>
      <c r="X58"/>
      <c r="Y58"/>
      <c r="Z58"/>
      <c r="AA58"/>
    </row>
    <row r="59" spans="2:27">
      <c r="B59"/>
      <c r="C59"/>
      <c r="D59"/>
      <c r="E59"/>
      <c r="F59"/>
      <c r="G59"/>
      <c r="H59"/>
      <c r="I59"/>
      <c r="J59"/>
      <c r="K59"/>
      <c r="L59"/>
      <c r="M59"/>
      <c r="N59"/>
      <c r="O59"/>
      <c r="P59"/>
      <c r="Q59"/>
      <c r="R59"/>
      <c r="S59"/>
      <c r="T59"/>
      <c r="U59"/>
      <c r="V59"/>
      <c r="W59"/>
      <c r="X59"/>
      <c r="Y59"/>
      <c r="Z59"/>
      <c r="AA59"/>
    </row>
    <row r="60" spans="2:27">
      <c r="B60"/>
      <c r="C60"/>
      <c r="D60"/>
      <c r="E60"/>
      <c r="F60"/>
      <c r="G60"/>
      <c r="H60"/>
      <c r="I60"/>
      <c r="J60"/>
      <c r="K60"/>
      <c r="L60"/>
      <c r="M60"/>
      <c r="N60"/>
      <c r="O60"/>
      <c r="P60"/>
      <c r="Q60"/>
      <c r="R60"/>
      <c r="S60"/>
      <c r="T60"/>
      <c r="U60"/>
      <c r="V60"/>
      <c r="W60"/>
      <c r="X60"/>
      <c r="Y60"/>
      <c r="Z60"/>
      <c r="AA60"/>
    </row>
    <row r="61" spans="2:27">
      <c r="B61"/>
      <c r="C61"/>
      <c r="D61"/>
      <c r="E61"/>
      <c r="F61"/>
      <c r="G61"/>
      <c r="H61"/>
      <c r="I61"/>
      <c r="J61"/>
      <c r="K61"/>
      <c r="L61"/>
      <c r="M61"/>
      <c r="N61"/>
      <c r="O61"/>
      <c r="P61"/>
      <c r="Q61"/>
      <c r="R61"/>
      <c r="S61"/>
      <c r="T61"/>
      <c r="U61"/>
      <c r="V61"/>
      <c r="W61"/>
      <c r="X61"/>
      <c r="Y61"/>
      <c r="Z61"/>
      <c r="AA61"/>
    </row>
    <row r="62" spans="2:27">
      <c r="B62"/>
      <c r="C62"/>
      <c r="D62"/>
      <c r="E62"/>
      <c r="F62"/>
      <c r="G62"/>
      <c r="H62"/>
      <c r="I62"/>
      <c r="J62"/>
      <c r="K62"/>
      <c r="L62"/>
      <c r="M62"/>
      <c r="N62"/>
      <c r="O62"/>
      <c r="P62"/>
      <c r="Q62"/>
      <c r="R62"/>
      <c r="S62"/>
      <c r="T62"/>
      <c r="U62"/>
      <c r="V62"/>
      <c r="W62"/>
      <c r="X62"/>
      <c r="Y62"/>
      <c r="Z62"/>
      <c r="AA62"/>
    </row>
    <row r="63" spans="2:27">
      <c r="B63"/>
      <c r="C63"/>
      <c r="D63"/>
      <c r="E63"/>
      <c r="F63"/>
      <c r="G63"/>
      <c r="H63"/>
      <c r="I63"/>
      <c r="J63"/>
      <c r="K63"/>
      <c r="L63"/>
      <c r="M63"/>
      <c r="N63"/>
      <c r="O63"/>
      <c r="P63"/>
      <c r="Q63"/>
      <c r="R63"/>
      <c r="S63"/>
      <c r="T63"/>
      <c r="U63"/>
      <c r="V63"/>
      <c r="W63"/>
      <c r="X63"/>
      <c r="Y63"/>
      <c r="Z63"/>
      <c r="AA63"/>
    </row>
    <row r="64" spans="2:27" ht="5" customHeight="1">
      <c r="B64"/>
      <c r="C64"/>
      <c r="D64"/>
      <c r="E64"/>
      <c r="F64"/>
      <c r="G64"/>
      <c r="H64"/>
      <c r="I64"/>
      <c r="J64"/>
      <c r="K64"/>
      <c r="L64"/>
      <c r="M64"/>
      <c r="N64"/>
      <c r="O64"/>
      <c r="P64"/>
      <c r="Q64"/>
      <c r="R64"/>
      <c r="S64"/>
      <c r="T64"/>
      <c r="U64"/>
      <c r="V64"/>
      <c r="W64"/>
      <c r="X64"/>
      <c r="Y64"/>
      <c r="Z64"/>
      <c r="AA64"/>
    </row>
    <row r="65" spans="2:27">
      <c r="B65"/>
      <c r="C65"/>
      <c r="D65"/>
      <c r="E65"/>
      <c r="F65"/>
      <c r="G65"/>
      <c r="H65"/>
      <c r="I65"/>
      <c r="J65"/>
      <c r="K65"/>
      <c r="L65"/>
      <c r="M65"/>
      <c r="N65"/>
      <c r="O65"/>
      <c r="P65"/>
      <c r="Q65"/>
      <c r="R65"/>
      <c r="S65"/>
      <c r="T65"/>
      <c r="U65"/>
      <c r="V65"/>
      <c r="W65"/>
      <c r="X65"/>
      <c r="Y65"/>
      <c r="Z65"/>
      <c r="AA65"/>
    </row>
    <row r="66" spans="2:27">
      <c r="B66"/>
      <c r="C66"/>
      <c r="D66"/>
      <c r="E66"/>
      <c r="F66"/>
      <c r="G66"/>
      <c r="H66"/>
      <c r="I66"/>
      <c r="J66"/>
      <c r="K66"/>
      <c r="L66"/>
      <c r="M66"/>
      <c r="N66"/>
      <c r="O66"/>
      <c r="P66"/>
      <c r="Q66"/>
      <c r="R66"/>
      <c r="S66"/>
      <c r="T66"/>
      <c r="U66"/>
      <c r="V66"/>
      <c r="W66"/>
      <c r="X66"/>
      <c r="Y66"/>
      <c r="Z66"/>
      <c r="AA66"/>
    </row>
    <row r="67" spans="2:27">
      <c r="B67"/>
      <c r="C67"/>
      <c r="D67"/>
      <c r="E67"/>
      <c r="F67"/>
      <c r="G67"/>
      <c r="H67"/>
      <c r="I67"/>
      <c r="J67"/>
      <c r="K67"/>
      <c r="L67"/>
      <c r="M67"/>
      <c r="N67"/>
      <c r="O67"/>
      <c r="P67"/>
      <c r="Q67"/>
      <c r="R67"/>
      <c r="S67"/>
      <c r="T67"/>
      <c r="U67"/>
      <c r="V67"/>
      <c r="W67"/>
      <c r="X67"/>
      <c r="Y67"/>
      <c r="Z67"/>
      <c r="AA67"/>
    </row>
    <row r="68" spans="2:27">
      <c r="B68"/>
      <c r="C68"/>
      <c r="D68"/>
      <c r="E68"/>
      <c r="F68"/>
      <c r="G68"/>
      <c r="H68"/>
      <c r="I68"/>
      <c r="J68"/>
      <c r="K68"/>
      <c r="L68"/>
      <c r="M68"/>
      <c r="N68"/>
      <c r="O68"/>
      <c r="P68"/>
      <c r="Q68"/>
      <c r="R68"/>
      <c r="S68"/>
      <c r="T68"/>
      <c r="U68"/>
      <c r="V68"/>
      <c r="W68"/>
      <c r="X68"/>
      <c r="Y68"/>
      <c r="Z68"/>
      <c r="AA68"/>
    </row>
    <row r="69" spans="2:27">
      <c r="B69"/>
      <c r="C69"/>
      <c r="D69"/>
      <c r="E69"/>
      <c r="F69"/>
      <c r="G69"/>
      <c r="H69"/>
      <c r="I69"/>
      <c r="J69"/>
      <c r="K69"/>
      <c r="L69"/>
      <c r="M69"/>
      <c r="N69"/>
      <c r="O69"/>
      <c r="P69"/>
      <c r="Q69"/>
      <c r="R69"/>
      <c r="S69"/>
      <c r="T69"/>
      <c r="U69"/>
      <c r="V69"/>
      <c r="W69"/>
      <c r="X69"/>
      <c r="Y69"/>
      <c r="Z69"/>
      <c r="AA69"/>
    </row>
    <row r="70" spans="2:27">
      <c r="B70"/>
      <c r="C70"/>
      <c r="D70"/>
      <c r="E70"/>
      <c r="F70"/>
      <c r="G70"/>
      <c r="H70"/>
      <c r="I70"/>
      <c r="J70"/>
      <c r="K70"/>
      <c r="L70"/>
      <c r="M70"/>
      <c r="N70"/>
      <c r="O70"/>
      <c r="P70"/>
      <c r="Q70"/>
      <c r="R70"/>
      <c r="S70"/>
      <c r="T70"/>
      <c r="U70"/>
      <c r="V70"/>
      <c r="W70"/>
      <c r="X70"/>
      <c r="Y70"/>
      <c r="Z70"/>
      <c r="AA70"/>
    </row>
    <row r="71" spans="2:27">
      <c r="B71"/>
      <c r="C71"/>
      <c r="D71"/>
      <c r="E71"/>
      <c r="F71"/>
      <c r="G71"/>
      <c r="H71"/>
      <c r="I71"/>
      <c r="J71"/>
      <c r="K71"/>
      <c r="L71"/>
      <c r="M71"/>
      <c r="N71"/>
      <c r="O71"/>
      <c r="P71"/>
      <c r="Q71"/>
      <c r="R71"/>
      <c r="S71"/>
      <c r="T71"/>
      <c r="U71"/>
      <c r="V71"/>
      <c r="W71"/>
      <c r="X71"/>
      <c r="Y71"/>
      <c r="Z71"/>
      <c r="AA71"/>
    </row>
    <row r="72" spans="2:27">
      <c r="B72"/>
      <c r="C72"/>
      <c r="D72"/>
      <c r="E72"/>
      <c r="F72"/>
      <c r="G72"/>
      <c r="H72"/>
      <c r="I72"/>
      <c r="J72"/>
      <c r="K72"/>
      <c r="L72"/>
      <c r="M72"/>
      <c r="N72"/>
      <c r="O72"/>
      <c r="P72"/>
      <c r="Q72"/>
      <c r="R72"/>
      <c r="S72"/>
      <c r="T72"/>
      <c r="U72"/>
      <c r="V72"/>
      <c r="W72"/>
      <c r="X72"/>
      <c r="Y72"/>
      <c r="Z72"/>
      <c r="AA72"/>
    </row>
    <row r="73" spans="2:27">
      <c r="B73"/>
      <c r="C73"/>
      <c r="D73"/>
      <c r="E73"/>
      <c r="F73"/>
      <c r="G73"/>
      <c r="H73"/>
      <c r="I73"/>
      <c r="J73"/>
      <c r="K73"/>
      <c r="L73"/>
      <c r="M73"/>
      <c r="N73"/>
      <c r="O73"/>
      <c r="P73"/>
      <c r="Q73"/>
      <c r="R73"/>
      <c r="S73"/>
      <c r="T73"/>
      <c r="U73"/>
      <c r="V73"/>
      <c r="W73"/>
      <c r="X73"/>
      <c r="Y73"/>
      <c r="Z73"/>
      <c r="AA73"/>
    </row>
    <row r="74" spans="2:27">
      <c r="B74"/>
      <c r="C74"/>
      <c r="D74"/>
      <c r="E74"/>
      <c r="F74"/>
      <c r="G74"/>
      <c r="H74"/>
      <c r="I74"/>
      <c r="J74"/>
      <c r="K74"/>
      <c r="L74"/>
      <c r="M74"/>
      <c r="N74"/>
      <c r="O74"/>
      <c r="P74"/>
      <c r="Q74"/>
      <c r="R74"/>
      <c r="S74"/>
      <c r="T74"/>
      <c r="U74"/>
      <c r="V74"/>
      <c r="W74"/>
      <c r="X74"/>
      <c r="Y74"/>
      <c r="Z74"/>
      <c r="AA74"/>
    </row>
    <row r="75" spans="2:27">
      <c r="B75"/>
      <c r="C75"/>
      <c r="D75"/>
      <c r="E75"/>
      <c r="F75"/>
      <c r="G75"/>
      <c r="H75"/>
      <c r="I75"/>
      <c r="J75"/>
      <c r="K75"/>
      <c r="L75"/>
      <c r="M75"/>
      <c r="N75"/>
      <c r="O75"/>
      <c r="P75"/>
      <c r="Q75"/>
      <c r="R75"/>
      <c r="S75"/>
      <c r="T75"/>
      <c r="U75"/>
      <c r="V75"/>
      <c r="W75"/>
      <c r="X75"/>
      <c r="Y75"/>
      <c r="Z75"/>
      <c r="AA75"/>
    </row>
    <row r="76" spans="2:27">
      <c r="B76"/>
      <c r="C76"/>
      <c r="D76"/>
      <c r="E76"/>
      <c r="F76"/>
      <c r="G76"/>
      <c r="H76"/>
      <c r="I76"/>
      <c r="J76"/>
      <c r="K76"/>
      <c r="L76"/>
      <c r="M76"/>
      <c r="N76"/>
      <c r="O76"/>
      <c r="P76"/>
      <c r="Q76"/>
      <c r="R76"/>
      <c r="S76"/>
      <c r="T76"/>
      <c r="U76"/>
      <c r="V76"/>
      <c r="W76"/>
      <c r="X76"/>
      <c r="Y76"/>
      <c r="Z76"/>
      <c r="AA76"/>
    </row>
    <row r="77" spans="2:27">
      <c r="B77"/>
      <c r="C77"/>
      <c r="D77"/>
      <c r="E77"/>
      <c r="F77"/>
      <c r="G77"/>
      <c r="H77"/>
      <c r="I77"/>
      <c r="J77"/>
      <c r="K77"/>
      <c r="L77"/>
      <c r="M77"/>
      <c r="N77"/>
      <c r="O77"/>
      <c r="P77"/>
      <c r="Q77"/>
      <c r="R77"/>
      <c r="S77"/>
      <c r="T77"/>
      <c r="U77"/>
      <c r="V77"/>
      <c r="W77"/>
      <c r="X77"/>
      <c r="Y77"/>
      <c r="Z77"/>
      <c r="AA77"/>
    </row>
    <row r="78" spans="2:27">
      <c r="B78"/>
      <c r="C78"/>
      <c r="D78"/>
      <c r="E78"/>
      <c r="F78"/>
      <c r="G78"/>
      <c r="H78"/>
      <c r="I78"/>
      <c r="J78"/>
      <c r="K78"/>
      <c r="L78"/>
      <c r="M78"/>
      <c r="N78"/>
      <c r="O78"/>
      <c r="P78"/>
      <c r="Q78"/>
      <c r="R78"/>
      <c r="S78"/>
      <c r="T78"/>
      <c r="U78"/>
      <c r="V78"/>
      <c r="W78"/>
      <c r="X78"/>
      <c r="Y78"/>
      <c r="Z78"/>
      <c r="AA78"/>
    </row>
    <row r="79" spans="2:27">
      <c r="B79"/>
      <c r="C79"/>
      <c r="D79"/>
      <c r="E79"/>
      <c r="F79"/>
      <c r="G79"/>
      <c r="H79"/>
      <c r="I79"/>
      <c r="J79"/>
      <c r="K79"/>
      <c r="L79"/>
      <c r="M79"/>
      <c r="N79"/>
      <c r="O79"/>
      <c r="P79"/>
      <c r="Q79"/>
      <c r="R79"/>
      <c r="S79"/>
      <c r="T79"/>
      <c r="U79"/>
      <c r="V79"/>
      <c r="W79"/>
      <c r="X79"/>
      <c r="Y79"/>
      <c r="Z79"/>
      <c r="AA79"/>
    </row>
    <row r="80" spans="2:27">
      <c r="B80"/>
      <c r="C80"/>
      <c r="D80"/>
      <c r="E80"/>
      <c r="F80"/>
      <c r="G80"/>
      <c r="H80"/>
      <c r="I80"/>
      <c r="J80"/>
      <c r="K80"/>
      <c r="L80"/>
      <c r="M80"/>
      <c r="N80"/>
      <c r="O80"/>
      <c r="P80"/>
      <c r="Q80"/>
      <c r="R80"/>
      <c r="S80"/>
      <c r="T80"/>
      <c r="U80"/>
      <c r="V80"/>
      <c r="W80"/>
      <c r="X80"/>
      <c r="Y80"/>
      <c r="Z80"/>
      <c r="AA80"/>
    </row>
    <row r="81" spans="2:27">
      <c r="B81"/>
      <c r="C81"/>
      <c r="D81"/>
      <c r="E81"/>
      <c r="F81"/>
      <c r="G81"/>
      <c r="H81"/>
      <c r="I81"/>
      <c r="J81"/>
      <c r="K81"/>
      <c r="L81"/>
      <c r="M81"/>
      <c r="N81"/>
      <c r="O81"/>
      <c r="P81"/>
      <c r="Q81"/>
      <c r="R81"/>
      <c r="S81"/>
      <c r="T81"/>
      <c r="U81"/>
      <c r="V81"/>
      <c r="W81"/>
      <c r="X81"/>
      <c r="Y81"/>
      <c r="Z81"/>
      <c r="AA81"/>
    </row>
    <row r="82" spans="2:27">
      <c r="B82"/>
      <c r="C82"/>
      <c r="D82"/>
      <c r="E82"/>
      <c r="F82"/>
      <c r="G82"/>
      <c r="H82"/>
      <c r="I82"/>
      <c r="J82"/>
      <c r="K82"/>
      <c r="L82"/>
      <c r="M82"/>
      <c r="N82"/>
      <c r="O82"/>
      <c r="P82"/>
      <c r="Q82"/>
      <c r="R82"/>
      <c r="S82"/>
      <c r="T82"/>
      <c r="U82"/>
      <c r="V82"/>
      <c r="W82"/>
      <c r="X82"/>
      <c r="Y82"/>
      <c r="Z82"/>
      <c r="AA82"/>
    </row>
    <row r="83" spans="2:27">
      <c r="B83"/>
      <c r="C83"/>
      <c r="D83"/>
      <c r="E83"/>
      <c r="F83"/>
      <c r="G83"/>
      <c r="H83"/>
      <c r="I83"/>
      <c r="J83"/>
      <c r="K83"/>
      <c r="L83"/>
      <c r="M83"/>
      <c r="N83"/>
      <c r="O83"/>
      <c r="P83"/>
      <c r="Q83"/>
      <c r="R83"/>
      <c r="S83"/>
      <c r="T83"/>
      <c r="U83"/>
      <c r="V83"/>
      <c r="W83"/>
      <c r="X83"/>
      <c r="Y83"/>
      <c r="Z83"/>
      <c r="AA83"/>
    </row>
    <row r="84" spans="2:27">
      <c r="B84"/>
      <c r="C84"/>
      <c r="D84"/>
      <c r="E84"/>
      <c r="F84"/>
      <c r="G84"/>
      <c r="H84"/>
      <c r="I84"/>
      <c r="J84"/>
      <c r="K84"/>
      <c r="L84"/>
      <c r="M84"/>
      <c r="N84"/>
      <c r="O84"/>
      <c r="P84"/>
      <c r="Q84"/>
      <c r="R84"/>
      <c r="S84"/>
      <c r="T84"/>
      <c r="U84"/>
      <c r="V84"/>
      <c r="W84"/>
      <c r="X84"/>
      <c r="Y84"/>
      <c r="Z84"/>
      <c r="AA84"/>
    </row>
    <row r="85" spans="2:27">
      <c r="B85"/>
      <c r="C85"/>
      <c r="D85"/>
      <c r="E85"/>
      <c r="F85"/>
      <c r="G85"/>
      <c r="H85"/>
      <c r="I85"/>
      <c r="J85"/>
      <c r="K85"/>
      <c r="L85"/>
      <c r="M85"/>
      <c r="N85"/>
      <c r="O85"/>
      <c r="P85"/>
      <c r="Q85"/>
      <c r="R85"/>
      <c r="S85"/>
      <c r="T85"/>
      <c r="U85"/>
      <c r="V85"/>
      <c r="W85"/>
      <c r="X85"/>
      <c r="Y85"/>
      <c r="Z85"/>
      <c r="AA85"/>
    </row>
    <row r="86" spans="2:27">
      <c r="B86"/>
      <c r="C86"/>
      <c r="D86"/>
      <c r="E86"/>
      <c r="F86"/>
      <c r="G86"/>
      <c r="H86"/>
      <c r="I86"/>
      <c r="J86"/>
      <c r="K86"/>
      <c r="L86"/>
      <c r="M86"/>
      <c r="N86"/>
      <c r="O86"/>
      <c r="P86"/>
      <c r="Q86"/>
      <c r="R86"/>
      <c r="S86"/>
      <c r="T86"/>
      <c r="U86"/>
      <c r="V86"/>
      <c r="W86"/>
      <c r="X86"/>
      <c r="Y86"/>
      <c r="Z86"/>
      <c r="AA86"/>
    </row>
    <row r="87" spans="2:27">
      <c r="B87"/>
      <c r="C87"/>
      <c r="D87"/>
      <c r="E87"/>
      <c r="F87"/>
      <c r="G87"/>
      <c r="H87"/>
      <c r="I87"/>
      <c r="J87"/>
      <c r="K87"/>
      <c r="L87"/>
      <c r="M87"/>
      <c r="N87"/>
      <c r="O87"/>
      <c r="P87"/>
      <c r="Q87"/>
      <c r="R87"/>
      <c r="S87"/>
      <c r="T87"/>
      <c r="U87"/>
      <c r="V87"/>
      <c r="W87"/>
      <c r="X87"/>
      <c r="Y87"/>
      <c r="Z87"/>
      <c r="AA87"/>
    </row>
    <row r="88" spans="2:27">
      <c r="B88"/>
      <c r="C88"/>
      <c r="D88"/>
      <c r="E88"/>
      <c r="F88"/>
      <c r="G88"/>
      <c r="H88"/>
      <c r="I88"/>
      <c r="J88"/>
      <c r="K88"/>
      <c r="L88"/>
      <c r="M88"/>
      <c r="N88"/>
      <c r="O88"/>
      <c r="P88"/>
      <c r="Q88"/>
      <c r="R88"/>
      <c r="S88"/>
      <c r="T88"/>
      <c r="U88"/>
      <c r="V88"/>
      <c r="W88"/>
      <c r="X88"/>
      <c r="Y88"/>
      <c r="Z88"/>
      <c r="AA88"/>
    </row>
    <row r="89" spans="2:27">
      <c r="B89"/>
      <c r="C89"/>
      <c r="D89"/>
      <c r="E89"/>
      <c r="F89"/>
      <c r="G89"/>
      <c r="H89"/>
      <c r="I89"/>
      <c r="J89"/>
      <c r="K89"/>
      <c r="L89"/>
      <c r="M89"/>
      <c r="N89"/>
      <c r="O89"/>
      <c r="P89"/>
      <c r="Q89"/>
      <c r="R89"/>
      <c r="S89"/>
      <c r="T89"/>
      <c r="U89"/>
      <c r="V89"/>
      <c r="W89"/>
      <c r="X89"/>
      <c r="Y89"/>
      <c r="Z89"/>
      <c r="AA89"/>
    </row>
    <row r="90" spans="2:27">
      <c r="B90"/>
      <c r="C90"/>
      <c r="D90"/>
      <c r="E90"/>
      <c r="F90"/>
      <c r="G90"/>
      <c r="H90"/>
      <c r="I90"/>
      <c r="J90"/>
      <c r="K90"/>
      <c r="L90"/>
      <c r="M90"/>
      <c r="N90"/>
      <c r="O90"/>
      <c r="P90"/>
      <c r="Q90"/>
      <c r="R90"/>
      <c r="S90"/>
      <c r="T90"/>
      <c r="U90"/>
      <c r="V90"/>
      <c r="W90"/>
      <c r="X90"/>
      <c r="Y90"/>
      <c r="Z90"/>
      <c r="AA90"/>
    </row>
    <row r="91" spans="2:27">
      <c r="B91"/>
      <c r="C91"/>
      <c r="D91"/>
      <c r="E91"/>
      <c r="F91"/>
      <c r="G91"/>
      <c r="H91"/>
      <c r="I91"/>
      <c r="J91"/>
      <c r="K91"/>
      <c r="L91"/>
      <c r="M91"/>
      <c r="N91"/>
      <c r="O91"/>
      <c r="P91"/>
      <c r="Q91"/>
      <c r="R91"/>
      <c r="S91"/>
      <c r="T91"/>
      <c r="U91"/>
      <c r="V91"/>
      <c r="W91"/>
      <c r="X91"/>
      <c r="Y91"/>
      <c r="Z91"/>
      <c r="AA91"/>
    </row>
    <row r="92" spans="2:27">
      <c r="B92"/>
      <c r="C92"/>
      <c r="D92"/>
      <c r="E92"/>
      <c r="F92"/>
      <c r="G92"/>
      <c r="H92"/>
      <c r="I92"/>
      <c r="J92"/>
      <c r="K92"/>
      <c r="L92"/>
      <c r="M92"/>
      <c r="N92"/>
      <c r="O92"/>
      <c r="P92"/>
      <c r="Q92"/>
      <c r="R92"/>
      <c r="S92"/>
      <c r="T92"/>
      <c r="U92"/>
      <c r="V92"/>
      <c r="W92"/>
      <c r="X92"/>
      <c r="Y92"/>
      <c r="Z92"/>
      <c r="AA92"/>
    </row>
    <row r="93" spans="2:27">
      <c r="B93"/>
      <c r="C93"/>
      <c r="D93"/>
      <c r="E93"/>
      <c r="F93"/>
      <c r="G93"/>
      <c r="H93"/>
      <c r="I93"/>
      <c r="J93"/>
      <c r="K93"/>
      <c r="L93"/>
      <c r="M93"/>
      <c r="N93"/>
      <c r="O93"/>
      <c r="P93"/>
      <c r="Q93"/>
      <c r="R93"/>
      <c r="S93"/>
      <c r="T93"/>
      <c r="U93"/>
      <c r="V93"/>
      <c r="W93"/>
      <c r="X93"/>
      <c r="Y93"/>
      <c r="Z93"/>
      <c r="AA93"/>
    </row>
    <row r="94" spans="2:27">
      <c r="B94"/>
      <c r="C94"/>
      <c r="D94"/>
      <c r="E94"/>
      <c r="F94"/>
      <c r="G94"/>
      <c r="H94"/>
      <c r="I94"/>
      <c r="J94"/>
      <c r="K94"/>
      <c r="L94"/>
      <c r="M94"/>
      <c r="N94"/>
      <c r="O94"/>
      <c r="P94"/>
      <c r="Q94"/>
      <c r="R94"/>
      <c r="S94"/>
      <c r="T94"/>
      <c r="U94"/>
      <c r="V94"/>
      <c r="W94"/>
      <c r="X94"/>
      <c r="Y94"/>
      <c r="Z94"/>
      <c r="AA94"/>
    </row>
    <row r="95" spans="2:27">
      <c r="B95"/>
      <c r="C95"/>
      <c r="D95"/>
      <c r="E95"/>
      <c r="F95"/>
      <c r="G95"/>
      <c r="H95"/>
      <c r="I95"/>
      <c r="J95"/>
      <c r="K95"/>
      <c r="L95"/>
      <c r="M95"/>
      <c r="N95"/>
      <c r="O95"/>
      <c r="P95"/>
      <c r="Q95"/>
      <c r="R95"/>
      <c r="S95"/>
      <c r="T95"/>
      <c r="U95"/>
      <c r="V95"/>
      <c r="W95"/>
      <c r="X95"/>
      <c r="Y95"/>
      <c r="Z95"/>
      <c r="AA95"/>
    </row>
    <row r="96" spans="2:27">
      <c r="B96"/>
      <c r="C96"/>
      <c r="D96"/>
      <c r="E96"/>
      <c r="F96"/>
      <c r="G96"/>
      <c r="H96"/>
      <c r="I96"/>
      <c r="J96"/>
      <c r="K96"/>
      <c r="L96"/>
      <c r="M96"/>
      <c r="N96"/>
      <c r="O96"/>
      <c r="P96"/>
      <c r="Q96"/>
      <c r="R96"/>
      <c r="S96"/>
      <c r="T96"/>
      <c r="U96"/>
      <c r="V96"/>
      <c r="W96"/>
      <c r="X96"/>
      <c r="Y96"/>
      <c r="Z96"/>
      <c r="AA96"/>
    </row>
    <row r="97" spans="2:27">
      <c r="B97"/>
      <c r="C97"/>
      <c r="D97"/>
      <c r="E97"/>
      <c r="F97"/>
      <c r="G97"/>
      <c r="H97"/>
      <c r="I97"/>
      <c r="J97"/>
      <c r="K97"/>
      <c r="L97"/>
      <c r="M97"/>
      <c r="N97"/>
      <c r="O97"/>
      <c r="P97"/>
      <c r="Q97"/>
      <c r="R97"/>
      <c r="S97"/>
      <c r="T97"/>
      <c r="U97"/>
      <c r="V97"/>
      <c r="W97"/>
      <c r="X97"/>
      <c r="Y97"/>
      <c r="Z97"/>
      <c r="AA97"/>
    </row>
    <row r="98" spans="2:27">
      <c r="B98"/>
      <c r="C98"/>
      <c r="D98"/>
      <c r="E98"/>
      <c r="F98"/>
      <c r="G98"/>
      <c r="H98"/>
      <c r="I98"/>
      <c r="J98"/>
      <c r="K98"/>
      <c r="L98"/>
      <c r="M98"/>
      <c r="N98"/>
      <c r="O98"/>
      <c r="P98"/>
      <c r="Q98"/>
      <c r="R98"/>
      <c r="S98"/>
      <c r="T98"/>
      <c r="U98"/>
      <c r="V98"/>
      <c r="W98"/>
      <c r="X98"/>
      <c r="Y98"/>
      <c r="Z98"/>
      <c r="AA98"/>
    </row>
    <row r="99" spans="2:27">
      <c r="B99"/>
      <c r="C99"/>
      <c r="D99"/>
      <c r="E99"/>
      <c r="F99"/>
      <c r="G99"/>
      <c r="H99"/>
      <c r="I99"/>
      <c r="J99"/>
      <c r="K99"/>
      <c r="L99"/>
      <c r="M99"/>
      <c r="N99"/>
      <c r="O99"/>
      <c r="P99"/>
      <c r="Q99"/>
      <c r="R99"/>
      <c r="S99"/>
      <c r="T99"/>
      <c r="U99"/>
      <c r="V99"/>
      <c r="W99"/>
      <c r="X99"/>
      <c r="Y99"/>
      <c r="Z99"/>
      <c r="AA99"/>
    </row>
    <row r="100" spans="2:27">
      <c r="B100"/>
      <c r="C100"/>
      <c r="D100"/>
      <c r="E100"/>
      <c r="F100"/>
      <c r="G100"/>
      <c r="H100"/>
      <c r="I100"/>
      <c r="J100"/>
      <c r="K100"/>
      <c r="L100"/>
      <c r="M100"/>
      <c r="N100"/>
      <c r="O100"/>
      <c r="P100"/>
      <c r="Q100"/>
      <c r="R100"/>
      <c r="S100"/>
      <c r="T100"/>
      <c r="U100"/>
      <c r="V100"/>
      <c r="W100"/>
      <c r="X100"/>
      <c r="Y100"/>
      <c r="Z100"/>
      <c r="AA100"/>
    </row>
    <row r="101" spans="2:27">
      <c r="B101"/>
      <c r="C101"/>
      <c r="D101"/>
      <c r="E101"/>
      <c r="F101"/>
      <c r="G101"/>
      <c r="H101"/>
      <c r="I101"/>
      <c r="J101"/>
      <c r="K101"/>
      <c r="L101"/>
      <c r="M101"/>
      <c r="N101"/>
      <c r="O101"/>
      <c r="P101"/>
      <c r="Q101"/>
      <c r="R101"/>
      <c r="S101"/>
      <c r="T101"/>
      <c r="U101"/>
      <c r="V101"/>
      <c r="W101"/>
      <c r="X101"/>
      <c r="Y101"/>
      <c r="Z101"/>
      <c r="AA101"/>
    </row>
    <row r="102" spans="2:27">
      <c r="B102"/>
      <c r="C102"/>
      <c r="D102"/>
      <c r="E102"/>
      <c r="F102"/>
      <c r="G102"/>
      <c r="H102"/>
      <c r="I102"/>
      <c r="J102"/>
      <c r="K102"/>
      <c r="L102"/>
      <c r="M102"/>
      <c r="N102"/>
      <c r="O102"/>
      <c r="P102"/>
      <c r="Q102"/>
      <c r="R102"/>
      <c r="S102"/>
      <c r="T102"/>
      <c r="U102"/>
      <c r="V102"/>
      <c r="W102"/>
      <c r="X102"/>
      <c r="Y102"/>
      <c r="Z102"/>
      <c r="AA102"/>
    </row>
    <row r="103" spans="2:27">
      <c r="B103"/>
      <c r="C103"/>
      <c r="D103"/>
      <c r="E103"/>
      <c r="F103"/>
      <c r="G103"/>
      <c r="H103"/>
      <c r="I103"/>
      <c r="J103"/>
      <c r="K103"/>
      <c r="L103"/>
      <c r="M103"/>
      <c r="N103"/>
      <c r="O103"/>
      <c r="P103"/>
      <c r="Q103"/>
      <c r="R103"/>
      <c r="S103"/>
      <c r="T103"/>
      <c r="U103"/>
      <c r="V103"/>
      <c r="W103"/>
      <c r="X103"/>
      <c r="Y103"/>
      <c r="Z103"/>
      <c r="AA103"/>
    </row>
    <row r="104" spans="2:27">
      <c r="B104"/>
      <c r="C104"/>
      <c r="D104"/>
      <c r="E104"/>
      <c r="F104"/>
      <c r="G104"/>
      <c r="H104"/>
      <c r="I104"/>
      <c r="J104"/>
      <c r="K104"/>
      <c r="L104"/>
      <c r="M104"/>
      <c r="N104"/>
      <c r="O104"/>
      <c r="P104"/>
      <c r="Q104"/>
      <c r="R104"/>
      <c r="S104"/>
      <c r="T104"/>
      <c r="U104"/>
      <c r="V104"/>
      <c r="W104"/>
      <c r="X104"/>
      <c r="Y104"/>
      <c r="Z104"/>
      <c r="AA104"/>
    </row>
    <row r="105" spans="2:27">
      <c r="B105"/>
      <c r="C105"/>
      <c r="D105"/>
      <c r="E105"/>
      <c r="F105"/>
      <c r="G105"/>
      <c r="H105"/>
      <c r="I105"/>
      <c r="J105"/>
      <c r="K105"/>
      <c r="L105"/>
      <c r="M105"/>
      <c r="N105"/>
      <c r="O105"/>
      <c r="P105"/>
      <c r="Q105"/>
      <c r="R105"/>
      <c r="S105"/>
      <c r="T105"/>
      <c r="U105"/>
      <c r="V105"/>
      <c r="W105"/>
      <c r="X105"/>
      <c r="Y105"/>
      <c r="Z105"/>
      <c r="AA105"/>
    </row>
    <row r="106" spans="2:27" ht="105" customHeight="1">
      <c r="B106"/>
      <c r="C106"/>
      <c r="D106"/>
      <c r="E106"/>
      <c r="F106"/>
      <c r="G106"/>
      <c r="H106"/>
      <c r="I106"/>
      <c r="J106"/>
      <c r="K106"/>
      <c r="L106"/>
      <c r="M106"/>
      <c r="N106"/>
      <c r="O106"/>
      <c r="P106"/>
      <c r="Q106"/>
      <c r="R106"/>
      <c r="S106"/>
      <c r="T106"/>
      <c r="U106"/>
      <c r="V106"/>
      <c r="W106"/>
      <c r="X106"/>
      <c r="Y106"/>
      <c r="Z106"/>
      <c r="AA106"/>
    </row>
    <row r="107" spans="2:27" ht="5" customHeight="1">
      <c r="B107"/>
      <c r="C107"/>
      <c r="D107"/>
      <c r="E107"/>
      <c r="F107"/>
      <c r="G107"/>
      <c r="H107"/>
      <c r="I107"/>
      <c r="J107"/>
      <c r="K107"/>
      <c r="L107"/>
      <c r="M107"/>
      <c r="N107"/>
      <c r="O107"/>
      <c r="P107"/>
      <c r="Q107"/>
      <c r="R107"/>
      <c r="S107"/>
      <c r="T107"/>
      <c r="U107"/>
      <c r="V107"/>
      <c r="W107"/>
      <c r="X107"/>
      <c r="Y107"/>
      <c r="Z107"/>
      <c r="AA107"/>
    </row>
    <row r="108" spans="2:27">
      <c r="B108"/>
      <c r="C108"/>
      <c r="D108"/>
      <c r="E108"/>
      <c r="F108"/>
      <c r="G108"/>
      <c r="H108"/>
      <c r="I108"/>
      <c r="J108"/>
      <c r="K108"/>
      <c r="L108"/>
      <c r="M108"/>
      <c r="N108"/>
      <c r="O108"/>
      <c r="P108"/>
      <c r="Q108"/>
      <c r="R108"/>
      <c r="S108"/>
      <c r="T108"/>
      <c r="U108"/>
      <c r="V108"/>
      <c r="W108"/>
      <c r="X108"/>
      <c r="Y108"/>
      <c r="Z108"/>
      <c r="AA108"/>
    </row>
    <row r="109" spans="2:27">
      <c r="B109"/>
      <c r="C109"/>
      <c r="D109"/>
      <c r="E109"/>
      <c r="F109"/>
      <c r="G109"/>
      <c r="H109"/>
      <c r="I109"/>
      <c r="J109"/>
      <c r="K109"/>
      <c r="L109"/>
      <c r="M109"/>
      <c r="N109"/>
      <c r="O109"/>
      <c r="P109"/>
      <c r="Q109"/>
      <c r="R109"/>
      <c r="S109"/>
      <c r="T109"/>
      <c r="U109"/>
      <c r="V109"/>
      <c r="W109"/>
      <c r="X109"/>
      <c r="Y109"/>
      <c r="Z109"/>
      <c r="AA109"/>
    </row>
    <row r="110" spans="2:27">
      <c r="B110"/>
      <c r="C110"/>
      <c r="D110"/>
      <c r="E110"/>
      <c r="F110"/>
      <c r="G110"/>
      <c r="H110"/>
      <c r="I110"/>
      <c r="J110"/>
      <c r="K110"/>
      <c r="L110"/>
      <c r="M110"/>
      <c r="N110"/>
      <c r="O110"/>
      <c r="P110"/>
      <c r="Q110"/>
      <c r="R110"/>
      <c r="S110"/>
      <c r="T110"/>
      <c r="U110"/>
      <c r="V110"/>
      <c r="W110"/>
      <c r="X110"/>
      <c r="Y110"/>
      <c r="Z110"/>
      <c r="AA110"/>
    </row>
    <row r="111" spans="2:27">
      <c r="B111"/>
      <c r="C111"/>
      <c r="D111"/>
      <c r="E111"/>
      <c r="F111"/>
      <c r="G111"/>
      <c r="H111"/>
      <c r="I111"/>
      <c r="J111"/>
      <c r="K111"/>
      <c r="L111"/>
      <c r="M111"/>
      <c r="N111"/>
      <c r="O111"/>
      <c r="P111"/>
      <c r="Q111"/>
      <c r="R111"/>
      <c r="S111"/>
      <c r="T111"/>
      <c r="U111"/>
      <c r="V111"/>
      <c r="W111"/>
      <c r="X111"/>
      <c r="Y111"/>
      <c r="Z111"/>
      <c r="AA111"/>
    </row>
    <row r="112" spans="2:27">
      <c r="B112"/>
      <c r="C112"/>
      <c r="D112"/>
      <c r="E112"/>
      <c r="F112"/>
      <c r="G112"/>
      <c r="H112"/>
      <c r="I112"/>
      <c r="J112"/>
      <c r="K112"/>
      <c r="L112"/>
      <c r="M112"/>
      <c r="N112"/>
      <c r="O112"/>
      <c r="P112"/>
      <c r="Q112"/>
      <c r="R112"/>
      <c r="S112"/>
      <c r="T112"/>
      <c r="U112"/>
      <c r="V112"/>
      <c r="W112"/>
      <c r="X112"/>
      <c r="Y112"/>
      <c r="Z112"/>
      <c r="AA112"/>
    </row>
    <row r="113" spans="2:27">
      <c r="B113"/>
      <c r="C113"/>
      <c r="D113"/>
      <c r="E113"/>
      <c r="F113"/>
      <c r="G113"/>
      <c r="H113"/>
      <c r="I113"/>
      <c r="J113"/>
      <c r="K113"/>
      <c r="L113"/>
      <c r="M113"/>
      <c r="N113"/>
      <c r="O113"/>
      <c r="P113"/>
      <c r="Q113"/>
      <c r="R113"/>
      <c r="S113"/>
      <c r="T113"/>
      <c r="U113"/>
      <c r="V113"/>
      <c r="W113"/>
      <c r="X113"/>
      <c r="Y113"/>
      <c r="Z113"/>
      <c r="AA113"/>
    </row>
    <row r="114" spans="2:27">
      <c r="B114"/>
      <c r="C114"/>
      <c r="D114"/>
      <c r="E114"/>
      <c r="F114"/>
      <c r="G114"/>
      <c r="H114"/>
      <c r="I114"/>
      <c r="J114"/>
      <c r="K114"/>
      <c r="L114"/>
      <c r="M114"/>
      <c r="N114"/>
      <c r="O114"/>
      <c r="P114"/>
      <c r="Q114"/>
      <c r="R114"/>
      <c r="S114"/>
      <c r="T114"/>
      <c r="U114"/>
      <c r="V114"/>
      <c r="W114"/>
      <c r="X114"/>
      <c r="Y114"/>
      <c r="Z114"/>
      <c r="AA114"/>
    </row>
    <row r="115" spans="2:27">
      <c r="B115"/>
      <c r="C115"/>
      <c r="D115"/>
      <c r="E115"/>
      <c r="F115"/>
      <c r="G115"/>
      <c r="H115"/>
      <c r="I115"/>
      <c r="J115"/>
      <c r="K115"/>
      <c r="L115"/>
      <c r="M115"/>
      <c r="N115"/>
      <c r="O115"/>
      <c r="P115"/>
      <c r="Q115"/>
      <c r="R115"/>
      <c r="S115"/>
      <c r="T115"/>
      <c r="U115"/>
      <c r="V115"/>
      <c r="W115"/>
      <c r="X115"/>
      <c r="Y115"/>
      <c r="Z115"/>
      <c r="AA115"/>
    </row>
    <row r="116" spans="2:27">
      <c r="B116"/>
      <c r="C116"/>
      <c r="D116"/>
      <c r="E116"/>
      <c r="F116"/>
      <c r="G116"/>
      <c r="H116"/>
      <c r="I116"/>
      <c r="J116"/>
      <c r="K116"/>
      <c r="L116"/>
      <c r="M116"/>
      <c r="N116"/>
      <c r="O116"/>
      <c r="P116"/>
      <c r="Q116"/>
      <c r="R116"/>
      <c r="S116"/>
      <c r="T116"/>
      <c r="U116"/>
      <c r="V116"/>
      <c r="W116"/>
      <c r="X116"/>
      <c r="Y116"/>
      <c r="Z116"/>
      <c r="AA116"/>
    </row>
    <row r="117" spans="2:27">
      <c r="B117"/>
      <c r="C117"/>
      <c r="D117"/>
      <c r="E117"/>
      <c r="F117"/>
      <c r="G117"/>
      <c r="H117"/>
      <c r="I117"/>
      <c r="J117"/>
      <c r="K117"/>
      <c r="L117"/>
      <c r="M117"/>
      <c r="N117"/>
      <c r="O117"/>
      <c r="P117"/>
      <c r="Q117"/>
      <c r="R117"/>
      <c r="S117"/>
      <c r="T117"/>
      <c r="U117"/>
      <c r="V117"/>
      <c r="W117"/>
      <c r="X117"/>
      <c r="Y117"/>
      <c r="Z117"/>
      <c r="AA117"/>
    </row>
    <row r="118" spans="2:27">
      <c r="B118"/>
      <c r="C118"/>
      <c r="D118"/>
      <c r="E118"/>
      <c r="F118"/>
      <c r="G118"/>
      <c r="H118"/>
      <c r="I118"/>
      <c r="J118"/>
      <c r="K118"/>
      <c r="L118"/>
      <c r="M118"/>
      <c r="N118"/>
      <c r="O118"/>
      <c r="P118"/>
      <c r="Q118"/>
      <c r="R118"/>
      <c r="S118"/>
      <c r="T118"/>
      <c r="U118"/>
      <c r="V118"/>
      <c r="W118"/>
      <c r="X118"/>
      <c r="Y118"/>
      <c r="Z118"/>
      <c r="AA118"/>
    </row>
    <row r="119" spans="2:27">
      <c r="B119"/>
      <c r="C119"/>
      <c r="D119"/>
      <c r="E119"/>
      <c r="F119"/>
      <c r="G119"/>
      <c r="H119"/>
      <c r="I119"/>
      <c r="J119"/>
      <c r="K119"/>
      <c r="L119"/>
      <c r="M119"/>
      <c r="N119"/>
      <c r="O119"/>
      <c r="P119"/>
      <c r="Q119"/>
      <c r="R119"/>
      <c r="S119"/>
      <c r="T119"/>
      <c r="U119"/>
      <c r="V119"/>
      <c r="W119"/>
      <c r="X119"/>
      <c r="Y119"/>
      <c r="Z119"/>
      <c r="AA119"/>
    </row>
    <row r="120" spans="2:27" ht="10" customHeight="1"/>
  </sheetData>
  <sheetProtection sheet="1" objects="1" scenarios="1" selectLockedCells="1" selectUnlockedCells="1"/>
  <mergeCells count="35">
    <mergeCell ref="B43:E43"/>
    <mergeCell ref="A6:Z6"/>
    <mergeCell ref="B7:E7"/>
    <mergeCell ref="A8:Z8"/>
    <mergeCell ref="B9:E9"/>
    <mergeCell ref="B10:E10"/>
    <mergeCell ref="B15:E15"/>
    <mergeCell ref="B17:E17"/>
    <mergeCell ref="B18:E18"/>
    <mergeCell ref="B41:E41"/>
    <mergeCell ref="B12:E12"/>
    <mergeCell ref="B40:E40"/>
    <mergeCell ref="B20:E20"/>
    <mergeCell ref="O5:P5"/>
    <mergeCell ref="Q5:T5"/>
    <mergeCell ref="O3:P3"/>
    <mergeCell ref="Q3:T3"/>
    <mergeCell ref="O4:P4"/>
    <mergeCell ref="Q4:T4"/>
    <mergeCell ref="G2:Z2"/>
    <mergeCell ref="B19:E19"/>
    <mergeCell ref="B38:E38"/>
    <mergeCell ref="B22:E22"/>
    <mergeCell ref="B23:E23"/>
    <mergeCell ref="B25:E25"/>
    <mergeCell ref="B26:E26"/>
    <mergeCell ref="B28:E28"/>
    <mergeCell ref="B29:E29"/>
    <mergeCell ref="B31:E31"/>
    <mergeCell ref="B32:E32"/>
    <mergeCell ref="B34:E34"/>
    <mergeCell ref="B35:E35"/>
    <mergeCell ref="B37:E37"/>
    <mergeCell ref="B13:E13"/>
    <mergeCell ref="B14:E14"/>
  </mergeCells>
  <phoneticPr fontId="3" type="noConversion"/>
  <pageMargins left="0.5" right="0.5" top="0.5" bottom="0.5" header="0.25" footer="0.25"/>
  <pageSetup orientation="portrait" horizontalDpi="4294967292" verticalDpi="4294967292"/>
  <headerFooter>
    <oddHeader xml:space="preserve">&amp;C&amp;"Libian SC Regular,Regular"&amp;6&amp;K000000★★★&amp;"-,Regular" ATTACH FACT SHEET HERE &amp;"Libian SC Regular,Regular"★★★&amp;"-,Regular" ATTACH FACT SHEET HERE &amp;"Libian SC Regular,Regular"★★★&amp;"-,Regular" ATTACH FACT SHEET HERE </oddHeader>
    <oddFooter>&amp;R&amp;"Gill Sans Light,Regular"&amp;7&amp;K000000Printed: &amp;D, &amp;T - Page &amp;P of &amp;N</oddFooter>
  </headerFooter>
  <drawing r:id="rId1"/>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theme="6"/>
  </sheetPr>
  <dimension ref="A1:AI120"/>
  <sheetViews>
    <sheetView view="pageLayout" zoomScaleNormal="150" zoomScalePageLayoutView="150" workbookViewId="0">
      <selection activeCell="B23" sqref="B23:E23"/>
    </sheetView>
  </sheetViews>
  <sheetFormatPr baseColWidth="10" defaultRowHeight="15" x14ac:dyDescent="0"/>
  <cols>
    <col min="1" max="1" width="0.33203125" style="7" customWidth="1"/>
    <col min="2" max="5" width="3.1640625" style="39" customWidth="1"/>
    <col min="6" max="6" width="0.83203125" style="7" customWidth="1"/>
    <col min="7" max="8" width="4" style="7" customWidth="1"/>
    <col min="9" max="9" width="1.33203125" style="7" customWidth="1"/>
    <col min="10" max="11" width="4" style="7" customWidth="1"/>
    <col min="12" max="12" width="1.33203125" style="7" customWidth="1"/>
    <col min="13" max="13" width="4" style="7" customWidth="1"/>
    <col min="14" max="14" width="3.6640625" style="7" customWidth="1"/>
    <col min="15" max="16" width="4.5" style="7" customWidth="1"/>
    <col min="17" max="20" width="4" style="7" customWidth="1"/>
    <col min="21" max="21" width="4.6640625" style="7" customWidth="1"/>
    <col min="22" max="26" width="4" style="7" customWidth="1"/>
    <col min="27" max="16384" width="10.83203125" style="7"/>
  </cols>
  <sheetData>
    <row r="1" spans="1:27" s="10" customFormat="1" ht="2" customHeight="1">
      <c r="A1" s="12"/>
      <c r="B1" s="329"/>
      <c r="C1" s="329"/>
      <c r="D1" s="329"/>
      <c r="E1" s="329"/>
      <c r="F1" s="12"/>
      <c r="G1" s="12"/>
      <c r="H1" s="12"/>
      <c r="I1" s="12"/>
      <c r="J1" s="12"/>
      <c r="K1" s="12"/>
      <c r="L1" s="12"/>
      <c r="M1" s="12"/>
      <c r="N1" s="12"/>
      <c r="O1" s="12"/>
      <c r="P1" s="12"/>
      <c r="Q1" s="12"/>
      <c r="R1" s="12"/>
      <c r="S1" s="12"/>
      <c r="T1" s="12"/>
      <c r="U1" s="12"/>
      <c r="V1" s="12"/>
      <c r="W1" s="12"/>
      <c r="X1" s="12"/>
      <c r="Y1" s="12"/>
      <c r="Z1" s="12"/>
    </row>
    <row r="2" spans="1:27" s="10" customFormat="1" ht="22" customHeight="1">
      <c r="A2" s="17"/>
      <c r="B2" s="330"/>
      <c r="C2" s="330"/>
      <c r="D2" s="330"/>
      <c r="E2" s="330"/>
      <c r="G2" s="538" t="str">
        <f>IF('FACT 1'!D10&gt;0,("  "&amp;'FACT 1'!D10&amp;" (hosted by: "&amp;'FACT 1'!R10&amp;")"), missing description &amp; primary contact entry)</f>
        <v xml:space="preserve">   (hosted by: )</v>
      </c>
      <c r="H2" s="539"/>
      <c r="I2" s="539"/>
      <c r="J2" s="539"/>
      <c r="K2" s="539"/>
      <c r="L2" s="539"/>
      <c r="M2" s="539"/>
      <c r="N2" s="539"/>
      <c r="O2" s="539"/>
      <c r="P2" s="539"/>
      <c r="Q2" s="539"/>
      <c r="R2" s="539"/>
      <c r="S2" s="539"/>
      <c r="T2" s="539"/>
      <c r="U2" s="539"/>
      <c r="V2" s="539"/>
      <c r="W2" s="539"/>
      <c r="X2" s="539"/>
      <c r="Y2" s="539"/>
      <c r="Z2" s="540"/>
      <c r="AA2" s="35"/>
    </row>
    <row r="3" spans="1:27" s="10" customFormat="1">
      <c r="A3" s="17"/>
      <c r="B3" s="50"/>
      <c r="C3" s="50"/>
      <c r="D3" s="50"/>
      <c r="E3" s="330"/>
      <c r="G3" s="17"/>
      <c r="H3" s="17"/>
      <c r="I3" s="17"/>
      <c r="J3" s="17"/>
      <c r="K3" s="17"/>
      <c r="L3" s="17"/>
      <c r="M3" s="17"/>
      <c r="N3" s="17"/>
      <c r="O3" s="569"/>
      <c r="P3" s="569"/>
      <c r="Q3" s="570"/>
      <c r="R3" s="570"/>
      <c r="S3" s="570"/>
      <c r="T3" s="570"/>
      <c r="U3" s="35"/>
      <c r="V3" s="35"/>
      <c r="W3" s="35"/>
      <c r="X3" s="35"/>
      <c r="Y3" s="35"/>
      <c r="Z3" s="35"/>
      <c r="AA3" s="35"/>
    </row>
    <row r="4" spans="1:27" s="10" customFormat="1" ht="15" customHeight="1">
      <c r="A4" s="17"/>
      <c r="B4" s="50"/>
      <c r="C4" s="50"/>
      <c r="D4" s="50"/>
      <c r="E4" s="330"/>
      <c r="G4" s="17"/>
      <c r="H4" s="17"/>
      <c r="I4" s="17"/>
      <c r="J4" s="17"/>
      <c r="K4" s="17"/>
      <c r="L4" s="17"/>
      <c r="M4" s="17"/>
      <c r="N4" s="17"/>
      <c r="O4" s="567"/>
      <c r="P4" s="567"/>
      <c r="Q4" s="570"/>
      <c r="R4" s="570"/>
      <c r="S4" s="570"/>
      <c r="T4" s="570"/>
      <c r="U4" s="35"/>
      <c r="V4" s="35"/>
      <c r="W4" s="35"/>
      <c r="X4" s="35"/>
      <c r="Y4" s="35"/>
      <c r="Z4" s="35"/>
      <c r="AA4" s="35"/>
    </row>
    <row r="5" spans="1:27" s="10" customFormat="1" ht="2" customHeight="1">
      <c r="A5" s="17"/>
      <c r="B5" s="50"/>
      <c r="C5" s="50"/>
      <c r="D5" s="50"/>
      <c r="E5" s="330"/>
      <c r="F5" s="35"/>
      <c r="G5" s="51"/>
      <c r="H5" s="51"/>
      <c r="I5" s="17"/>
      <c r="J5" s="17"/>
      <c r="K5" s="17"/>
      <c r="L5" s="17"/>
      <c r="M5" s="17"/>
      <c r="N5" s="17"/>
      <c r="O5" s="567"/>
      <c r="P5" s="567"/>
      <c r="Q5" s="568"/>
      <c r="R5" s="568"/>
      <c r="S5" s="568"/>
      <c r="T5" s="568"/>
      <c r="U5" s="35"/>
      <c r="V5" s="35"/>
      <c r="W5" s="35"/>
      <c r="X5" s="35"/>
      <c r="Y5" s="35"/>
      <c r="Z5" s="35"/>
      <c r="AA5" s="35"/>
    </row>
    <row r="6" spans="1:27" s="10" customFormat="1" ht="2" customHeight="1">
      <c r="A6" s="338"/>
      <c r="B6" s="338"/>
      <c r="C6" s="338"/>
      <c r="D6" s="338"/>
      <c r="E6" s="338"/>
      <c r="F6" s="338"/>
      <c r="G6" s="338"/>
      <c r="H6" s="338"/>
      <c r="I6" s="338"/>
      <c r="J6" s="338"/>
      <c r="K6" s="338"/>
      <c r="L6" s="338"/>
      <c r="M6" s="338"/>
      <c r="N6" s="338"/>
      <c r="O6" s="338"/>
      <c r="P6" s="338"/>
      <c r="Q6" s="338"/>
      <c r="R6" s="338"/>
      <c r="S6" s="338"/>
      <c r="T6" s="338"/>
      <c r="U6" s="338"/>
      <c r="V6" s="338"/>
      <c r="W6" s="338"/>
      <c r="X6" s="338"/>
      <c r="Y6" s="338"/>
      <c r="Z6" s="338"/>
    </row>
    <row r="7" spans="1:27" s="11" customFormat="1" ht="30" customHeight="1">
      <c r="A7" s="52" t="s">
        <v>56</v>
      </c>
      <c r="B7" s="574" t="s">
        <v>339</v>
      </c>
      <c r="C7" s="575"/>
      <c r="D7" s="575"/>
      <c r="E7" s="576"/>
      <c r="F7" s="53"/>
      <c r="G7" s="54"/>
      <c r="H7" s="54"/>
      <c r="I7" s="54"/>
      <c r="J7" s="54" t="str">
        <f>IF(B23&gt;0,
IF(Z26&gt;0,
(COUNT(B23,B26:Z26))&amp;" Events: "&amp;(CONCATENATE((TEXT($B$23,"DDD"))&amp;", "&amp;(TEXT($B$23,"MMM"))&amp;" "&amp;(TEXT($B$23,"d"))))&amp;" - "&amp;(CONCATENATE((TEXT($Z$26,"DDD"))&amp;", "&amp;(TEXT($Z$26,"MMM"))&amp;" "&amp;(TEXT($Z$26,"d"))&amp;" at "&amp;(TEXT(D23,"h:mm am/pm")))),
IF(X26&gt;0,
(COUNT(B23,B26:X26))&amp;" Events: "&amp;(CONCATENATE((TEXT($B$23,"DDD"))&amp;", "&amp;(TEXT($B$23,"MMM"))&amp;" "&amp;(TEXT($B$23,"d"))))&amp;" - "&amp;(CONCATENATE((TEXT($X$26,"DDD"))&amp;", "&amp;(TEXT($X$26,"MMM"))&amp;" "&amp;(TEXT($X$26,"d"))&amp;" @ "&amp;(TEXT(D23,"h:mm am/pm")))),
IF(V26&gt;0,
(COUNT(B23,B26:V26))&amp;" Events: "&amp;(CONCATENATE((TEXT($B$23,"DDD"))&amp;", "&amp;(TEXT($B$23,"MMM"))&amp;" "&amp;(TEXT($B$23,"d"))))&amp;" - "&amp;(CONCATENATE((TEXT($V$26,"DDD"))&amp;", "&amp;(TEXT($V$26,"MMM"))&amp;" "&amp;(TEXT($V$26,"d"))&amp;" @ "&amp;(TEXT(D23,"h:mm am/pm")))),
IF(T26&gt;0,
(COUNT(B23,B26:T26))&amp;" Events: "&amp;(CONCATENATE((TEXT($B$23,"DDD"))&amp;", "&amp;(TEXT($B$23,"MMM"))&amp;" "&amp;(TEXT($B$23,"d"))))&amp;" - "&amp;(CONCATENATE((TEXT($T$26,"DDD"))&amp;", "&amp;(TEXT($T$26,"MMM"))&amp;" "&amp;(TEXT($T$26,"d"))&amp;" @ "&amp;(TEXT(D23,"h:mm am/pm")))),
IF(R26&gt;0,
(COUNT(B23,B26:R26))&amp;" Events: "&amp;(CONCATENATE((TEXT($B$23,"DDD"))&amp;", "&amp;(TEXT($B$23,"MMM"))&amp;" "&amp;(TEXT($B$23,"d"))))&amp;" - "&amp;(CONCATENATE((TEXT($R$26,"DDD"))&amp;", "&amp;(TEXT($R$26,"MMM"))&amp;" "&amp;(TEXT($R$26,"d"))&amp;" @ "&amp;(TEXT(D23,"h:mm am/pm")))),
IF(P26&gt;0,
(COUNT(B23,B26:P26))&amp;" Events: "&amp;(CONCATENATE((TEXT($B$23,"DDD"))&amp;", "&amp;(TEXT($B$23,"MMM"))&amp;" "&amp;(TEXT($B$23,"d"))))&amp;" - "&amp;(CONCATENATE((TEXT($P$26,"DDD"))&amp;", "&amp;(TEXT($P$26,"MMM"))&amp;" "&amp;(TEXT($P$26,"d"))&amp;" @ "&amp;(TEXT(D23,"h:mm am/pm")))),
IF(N26&gt;0,
(COUNT(B23,B26:N26))&amp;" Events: "&amp;(CONCATENATE((TEXT($B$23,"DDD"))&amp;", "&amp;(TEXT($B$23,"MMM"))&amp;" "&amp;(TEXT($B$23,"d"))))&amp;" - "&amp;(CONCATENATE((TEXT($N$26,"DDD"))&amp;", "&amp;(TEXT($N$26,"MMM"))&amp;" "&amp;(TEXT($N$26,"d"))&amp;" @ "&amp;(TEXT(D23,"h:mm am/pm")))),
IF(L26&gt;0,
(COUNT(B23,B26:L26))&amp;" Events: "&amp;(CONCATENATE((TEXT($B$23,"DDD"))&amp;", "&amp;(TEXT($B$23,"MMM"))&amp;" "&amp;(TEXT($B$23,"d"))))&amp;" - "&amp;(CONCATENATE((TEXT($L$26,"DDD"))&amp;", "&amp;(TEXT($L$26,"MMM"))&amp;" "&amp;(TEXT($L$26,"d"))&amp;" @ "&amp;(TEXT(D23,"h:mm am/pm")))),
IF(J26&gt;0,
(COUNT(B23,B26:J26))&amp;" Events: "&amp;(CONCATENATE((TEXT($B$23,"DDD"))&amp;", "&amp;(TEXT($B$23,"MMM"))&amp;" "&amp;(TEXT($B$23,"d"))))&amp;" - "&amp;(CONCATENATE((TEXT($J$26,"DDD"))&amp;", "&amp;(TEXT($J$26,"MMM"))&amp;" "&amp;(TEXT($J$26,"d"))&amp;" @ "&amp;(TEXT(D23,"h:mm am/pm")))),
IF(H26&gt;0,
(COUNT(B23,B26:H26))&amp;" Events: "&amp;(CONCATENATE((TEXT($B$23,"DDD"))&amp;", "&amp;(TEXT($B$23,"MMM"))&amp;" "&amp;(TEXT($B$23,"d"))))&amp;" - "&amp;(CONCATENATE((TEXT($H$26,"DDD"))&amp;", "&amp;(TEXT($H$26,"MMM"))&amp;" "&amp;(TEXT($H$26,"d"))&amp;" @ "&amp;(TEXT(D23,"h:mm am/pm")))),
IF(F26&gt;0,
(COUNT(B23,B26:F26))&amp;" Events: "&amp;(CONCATENATE((TEXT($B$23,"DDD"))&amp;", "&amp;(TEXT($B$23,"MMM"))&amp;" "&amp;(TEXT($B$23,"d"))))&amp;" - "&amp;(CONCATENATE((TEXT($F$26,"DDD"))&amp;", "&amp;(TEXT($F$26,"MMM"))&amp;" "&amp;(TEXT($F$26,"d"))&amp;" @ "&amp;(TEXT(D23,"h:mm am/pm")))),
IF(D26&gt;0,
(COUNT(B23,B26:D26))&amp;" Events: "&amp;(CONCATENATE((TEXT($B$23,"DDD"))&amp;", "&amp;(TEXT($B$23,"MMM"))&amp;" "&amp;(TEXT($B$23,"d"))))&amp;" - "&amp;(CONCATENATE((TEXT($D$26,"DDD"))&amp;", "&amp;(TEXT($D$26,"MMM"))&amp;" "&amp;(TEXT($D$26,"d"))&amp;" @ "&amp;(TEXT(D23,"h:mm am/pm")))),
IF(B26&gt;0,
(COUNT(B23,B26:D26))&amp;" Events: "&amp;(CONCATENATE((TEXT($B$23,"DDD"))&amp;", "&amp;(TEXT($B$23,"MMM"))&amp;" "&amp;(TEXT($B$23,"d"))))&amp;" - "&amp;(CONCATENATE((TEXT($B$26,"DDD"))&amp;", "&amp;(TEXT($B$26,"MMM"))&amp;" "&amp;(TEXT($B$26,"d"))&amp;" @ "&amp;(TEXT(D23,"h:mm am/pm")))),
(COUNT(B23,B26:B26))&amp;" Event on "&amp;(CONCATENATE((TEXT($B$23,"DDDD"))&amp;", "&amp;(TEXT($B$23,"MMMM"))&amp;" "&amp;(TEXT($B$23,"d"))&amp;" @ "&amp;(TEXT(D23,"h:mm am/pm"))))))))))))))))))</f>
        <v>1 Events: Tue, Jan 3 - rotunda, rotunda rotunda @ 12:00 AM</v>
      </c>
      <c r="K7" s="54"/>
      <c r="L7" s="54"/>
      <c r="M7" s="54"/>
      <c r="N7" s="54"/>
      <c r="O7" s="54"/>
      <c r="P7" s="54"/>
      <c r="Q7" s="54"/>
      <c r="R7" s="54"/>
      <c r="S7" s="54"/>
      <c r="T7" s="54"/>
      <c r="U7" s="54"/>
      <c r="V7" s="54"/>
      <c r="W7" s="53"/>
      <c r="X7" s="53"/>
      <c r="Y7" s="53"/>
      <c r="Z7" s="53"/>
      <c r="AA7" s="53"/>
    </row>
    <row r="8" spans="1:27" s="10" customFormat="1" ht="5" customHeight="1">
      <c r="A8" s="577"/>
      <c r="B8" s="577"/>
      <c r="C8" s="577"/>
      <c r="D8" s="577"/>
      <c r="E8" s="577"/>
      <c r="F8" s="577"/>
      <c r="G8" s="577"/>
      <c r="H8" s="577"/>
      <c r="I8" s="577"/>
      <c r="J8" s="577"/>
      <c r="K8" s="577"/>
      <c r="L8" s="577"/>
      <c r="M8" s="577"/>
      <c r="N8" s="577"/>
      <c r="O8" s="577"/>
      <c r="P8" s="577"/>
      <c r="Q8" s="577"/>
      <c r="R8" s="577"/>
      <c r="S8" s="577"/>
      <c r="T8" s="577"/>
      <c r="U8" s="577"/>
      <c r="V8" s="577"/>
      <c r="W8" s="577"/>
      <c r="X8" s="577"/>
      <c r="Y8" s="577"/>
      <c r="Z8" s="577"/>
    </row>
    <row r="9" spans="1:27" s="11" customFormat="1" ht="21" customHeight="1">
      <c r="A9" s="80"/>
      <c r="B9" s="578" t="s">
        <v>113</v>
      </c>
      <c r="C9" s="579"/>
      <c r="D9" s="579"/>
      <c r="E9" s="580"/>
      <c r="F9" s="80"/>
      <c r="G9" s="80"/>
      <c r="H9" s="80"/>
      <c r="I9" s="80"/>
      <c r="J9" s="80"/>
      <c r="K9" s="80"/>
      <c r="L9" s="80"/>
      <c r="M9" s="80"/>
      <c r="N9" s="81" t="s">
        <v>281</v>
      </c>
      <c r="O9" s="80"/>
      <c r="P9" s="80"/>
      <c r="Q9" s="80"/>
      <c r="R9" s="80"/>
      <c r="S9" s="80"/>
      <c r="T9" s="80"/>
      <c r="U9" s="80"/>
      <c r="V9" s="80"/>
      <c r="W9" s="80"/>
      <c r="X9" s="80"/>
      <c r="Y9" s="80"/>
      <c r="Z9" s="80"/>
    </row>
    <row r="10" spans="1:27" s="10" customFormat="1" ht="21" customHeight="1">
      <c r="A10" s="331"/>
      <c r="B10" s="581" t="str">
        <f>IF((COUNT(AGREEMENT!B22,AGREEMENT!B25:AA25))&gt;1,"S-"&amp;IF(AGREEMENT!$B22&gt;0,(CONCATENATE(TEXT('FACT 1'!$B$102,"yymmdd"),'FACT 1'!$F$102,'FACT 1'!$AC$102,AGREEMENT!Z126))," "),IF(AGREEMENT!$B22&gt;0,(CONCATENATE(TEXT('FACT 1'!$B$102,"yymmdd"),'FACT 1'!$F$102,'FACT 1'!$AC$102,AGREEMENT!Z126)),""))</f>
        <v>160621LRTCC</v>
      </c>
      <c r="C10" s="582"/>
      <c r="D10" s="582"/>
      <c r="E10" s="583"/>
      <c r="F10" s="79"/>
      <c r="G10" s="79"/>
      <c r="H10" s="79"/>
      <c r="I10" s="79"/>
      <c r="J10" s="79"/>
      <c r="K10" s="79"/>
      <c r="L10" s="79"/>
      <c r="M10" s="79"/>
      <c r="N10" s="79"/>
      <c r="O10" s="79"/>
      <c r="P10" s="79"/>
      <c r="Q10" s="79"/>
      <c r="R10" s="79"/>
      <c r="S10" s="79"/>
      <c r="T10" s="79"/>
      <c r="U10" s="79"/>
      <c r="V10" s="79"/>
      <c r="W10" s="79"/>
      <c r="X10" s="79"/>
      <c r="Y10" s="79"/>
      <c r="Z10" s="79"/>
      <c r="AA10" s="23"/>
    </row>
    <row r="11" spans="1:27" s="10" customFormat="1" ht="3" customHeight="1">
      <c r="A11" s="331"/>
      <c r="B11" s="100"/>
      <c r="C11" s="100"/>
      <c r="D11" s="100"/>
      <c r="E11" s="100"/>
      <c r="F11" s="79"/>
      <c r="G11" s="79"/>
      <c r="H11" s="79"/>
      <c r="I11" s="79"/>
      <c r="J11" s="79"/>
      <c r="K11" s="79"/>
      <c r="L11" s="79"/>
      <c r="M11" s="79"/>
      <c r="N11" s="79"/>
      <c r="O11" s="79"/>
      <c r="P11" s="79"/>
      <c r="Q11" s="79"/>
      <c r="R11" s="79"/>
      <c r="S11" s="79"/>
      <c r="T11" s="79"/>
      <c r="U11" s="79"/>
      <c r="V11" s="79"/>
      <c r="W11" s="79"/>
      <c r="X11" s="79"/>
      <c r="Y11" s="79"/>
      <c r="Z11" s="331"/>
    </row>
    <row r="12" spans="1:27" s="10" customFormat="1" ht="21" customHeight="1">
      <c r="A12" s="331"/>
      <c r="B12" s="547" t="str">
        <f>IF((COUNT(AGREEMENT!B22,AGREEMENT!B25:AA25))&gt;1,"Date Range","Date")</f>
        <v>Date</v>
      </c>
      <c r="C12" s="548"/>
      <c r="D12" s="548"/>
      <c r="E12" s="549"/>
      <c r="F12" s="79"/>
      <c r="G12" s="79"/>
      <c r="H12" s="79"/>
      <c r="I12" s="79"/>
      <c r="J12" s="79"/>
      <c r="K12" s="79"/>
      <c r="L12" s="79"/>
      <c r="M12" s="79"/>
      <c r="N12" s="79"/>
      <c r="O12" s="79"/>
      <c r="P12" s="79"/>
      <c r="Q12" s="79"/>
      <c r="R12" s="79"/>
      <c r="S12" s="79"/>
      <c r="T12" s="79"/>
      <c r="U12" s="79"/>
      <c r="V12" s="79"/>
      <c r="W12" s="79"/>
      <c r="X12" s="79"/>
      <c r="Y12" s="79"/>
      <c r="Z12" s="331"/>
    </row>
    <row r="13" spans="1:27" s="329" customFormat="1" ht="21" customHeight="1">
      <c r="B13" s="561" t="str">
        <f>IF((COUNT(AGREEMENT!B22,AGREEMENT!B25:AA25))&gt;1,(TEXT(AGREEMENT!B22,"m/d/yy")),(TEXT(AGREEMENT!B22,"dddd")))</f>
        <v>Tuesday</v>
      </c>
      <c r="C13" s="562"/>
      <c r="D13" s="562"/>
      <c r="E13" s="563"/>
      <c r="F13" s="82"/>
      <c r="G13" s="82"/>
      <c r="H13" s="82"/>
      <c r="I13" s="82"/>
      <c r="J13" s="82"/>
      <c r="K13" s="82"/>
      <c r="L13" s="82"/>
      <c r="M13" s="82"/>
      <c r="N13" s="82"/>
      <c r="O13" s="83" t="s">
        <v>280</v>
      </c>
      <c r="P13" s="78"/>
      <c r="Q13" s="78"/>
      <c r="R13" s="78"/>
      <c r="S13" s="78"/>
      <c r="T13" s="78"/>
      <c r="U13" s="78"/>
      <c r="V13" s="78"/>
      <c r="W13" s="78"/>
      <c r="X13" s="78"/>
      <c r="Y13" s="78"/>
    </row>
    <row r="14" spans="1:27" s="38" customFormat="1" ht="21" customHeight="1">
      <c r="B14" s="564" t="str">
        <f>IF((COUNT(AGREEMENT!B22,AGREEMENT!B25:AA25))&gt;1,"to",(TEXT('FACT 1'!B19,"mmmm d")))</f>
        <v>June 21</v>
      </c>
      <c r="C14" s="565"/>
      <c r="D14" s="565"/>
      <c r="E14" s="566"/>
      <c r="F14" s="78"/>
      <c r="G14" s="78"/>
      <c r="H14" s="78"/>
      <c r="I14" s="78"/>
      <c r="J14" s="78"/>
      <c r="K14" s="78"/>
      <c r="L14" s="78"/>
      <c r="M14" s="78"/>
      <c r="N14" s="78"/>
      <c r="O14" s="78"/>
      <c r="P14" s="78"/>
      <c r="Q14" s="78"/>
      <c r="R14" s="78"/>
      <c r="S14" s="78"/>
      <c r="T14" s="78"/>
      <c r="U14" s="78"/>
      <c r="V14" s="78"/>
      <c r="W14" s="78"/>
      <c r="X14" s="78"/>
      <c r="Y14" s="78"/>
    </row>
    <row r="15" spans="1:27" s="38" customFormat="1" ht="21" customHeight="1">
      <c r="B15" s="584" t="str">
        <f>IF((COUNT(AGREEMENT!B22,AGREEMENT!B25:AA25))&gt;1,IF(AGREEMENT!B22&gt;0,
IF(AGREEMENT!Z25&gt;0,
((TEXT(AGREEMENT!Z25,"m/d/yy"))),
IF(AGREEMENT!X25&gt;0,
((TEXT(AGREEMENT!X25,"m/d/yy"))),
IF(AGREEMENT!V25&gt;0,
((TEXT(AGREEMENT!V25,"m/d/yy"))),
IF(AGREEMENT!T25&gt;0,
((TEXT(AGREEMENT!T25,"m/d/yy"))),
IF(AGREEMENT!R25&gt;0,
((TEXT(AGREEMENT!R25,"m/d/yy"))),
IF(AGREEMENT!P25&gt;0,
((TEXT(AGREEMENT!P25,"m/d/yy"))),
IF(AGREEMENT!N25&gt;0,
((TEXT(AGREEMENT!N25,"m/d/yy"))),
IF(AGREEMENT!L25&gt;0,
((TEXT(AGREEMENT!L25,"m/d/yy"))),
IF(AGREEMENT!J25&gt;0,
((TEXT(AGREEMENT!J25,"m/d/yy"))),
IF(AGREEMENT!H25&gt;0,
((TEXT(AGREEMENT!H25,"m/d/yy"))),
IF(AGREEMENT!F25&gt;0,
((TEXT(AGREEMENT!F25,"m/d/yy"))),
IF(AGREEMENT!D25&gt;0,
((TEXT(AGREEMENT!D25,"m/d/yy"))),
IF(AGREEMENT!B25&gt;0,
((TEXT(AGREEMENT!B25,"m/d/yy"))),
(TEXT(AGREEMENT!B22,"m/d/yy")))))))))))))))),
(TEXT(AGREEMENT!B22,"yyyy")))</f>
        <v>2016</v>
      </c>
      <c r="C15" s="585"/>
      <c r="D15" s="585"/>
      <c r="E15" s="586"/>
      <c r="F15" s="78"/>
      <c r="G15" s="78"/>
      <c r="H15" s="78"/>
      <c r="I15" s="78"/>
      <c r="J15" s="78"/>
      <c r="K15" s="78"/>
      <c r="L15" s="78"/>
      <c r="M15" s="78"/>
      <c r="N15" s="78"/>
      <c r="O15" s="78"/>
      <c r="P15" s="78"/>
      <c r="Q15" s="78"/>
      <c r="R15" s="78"/>
      <c r="S15" s="78"/>
      <c r="T15" s="78"/>
      <c r="U15" s="78"/>
      <c r="V15" s="78"/>
      <c r="W15" s="78"/>
      <c r="X15" s="78"/>
      <c r="Y15" s="78"/>
    </row>
    <row r="16" spans="1:27" s="38" customFormat="1" ht="3" customHeight="1">
      <c r="B16" s="101"/>
      <c r="C16" s="101"/>
      <c r="D16" s="101"/>
      <c r="E16" s="101"/>
      <c r="F16" s="78"/>
      <c r="G16" s="78"/>
      <c r="H16" s="78"/>
      <c r="I16" s="78"/>
      <c r="J16" s="78"/>
      <c r="K16" s="78"/>
      <c r="L16" s="78"/>
      <c r="M16" s="78"/>
      <c r="N16" s="78"/>
      <c r="O16" s="78"/>
      <c r="P16" s="78"/>
      <c r="Q16" s="78"/>
      <c r="R16" s="78"/>
      <c r="S16" s="78"/>
      <c r="T16" s="78"/>
      <c r="U16" s="78"/>
      <c r="V16" s="78"/>
      <c r="W16" s="78"/>
      <c r="X16" s="78"/>
      <c r="Y16" s="78"/>
    </row>
    <row r="17" spans="2:5" s="38" customFormat="1" ht="21" customHeight="1">
      <c r="B17" s="547" t="s">
        <v>337</v>
      </c>
      <c r="C17" s="548"/>
      <c r="D17" s="548"/>
      <c r="E17" s="549"/>
    </row>
    <row r="18" spans="2:5" s="82" customFormat="1" ht="21" customHeight="1">
      <c r="B18" s="541" t="str">
        <f>IF('FACT 1'!F19&gt;-1,(CONCATENATE(TEXT('FACT 1'!F19,"h:mm am/pm"))),"unknown")</f>
        <v>12:30 PM</v>
      </c>
      <c r="C18" s="542"/>
      <c r="D18" s="542"/>
      <c r="E18" s="543"/>
    </row>
    <row r="19" spans="2:5" s="38" customFormat="1" ht="21" customHeight="1">
      <c r="B19" s="541" t="s">
        <v>110</v>
      </c>
      <c r="C19" s="542"/>
      <c r="D19" s="542"/>
      <c r="E19" s="543"/>
    </row>
    <row r="20" spans="2:5" s="38" customFormat="1" ht="21" customHeight="1">
      <c r="B20" s="556" t="str">
        <f>IF('FACT 1'!F19&gt;-1,(CONCATENATE(TEXT('FACT 1'!J19,"h:mm am/pm"))),"unknown")</f>
        <v>3:30 PM</v>
      </c>
      <c r="C20" s="590"/>
      <c r="D20" s="590"/>
      <c r="E20" s="591"/>
    </row>
    <row r="21" spans="2:5" s="329" customFormat="1" ht="3" customHeight="1">
      <c r="B21" s="102"/>
      <c r="C21" s="102"/>
      <c r="D21" s="102"/>
      <c r="E21" s="102"/>
    </row>
    <row r="22" spans="2:5" s="82" customFormat="1" ht="21" customHeight="1">
      <c r="B22" s="547" t="s">
        <v>336</v>
      </c>
      <c r="C22" s="548"/>
      <c r="D22" s="548"/>
      <c r="E22" s="549"/>
    </row>
    <row r="23" spans="2:5" s="38" customFormat="1" ht="21" customHeight="1">
      <c r="B23" s="550">
        <f>IF((('FACT 1'!J19-'FACT 1'!F19)*24)&lt;1.01,((('FACT 1'!J19-'FACT 1'!F19)*24)),((('FACT 1'!J19-'FACT 1'!F19)*24)))</f>
        <v>3</v>
      </c>
      <c r="C23" s="551"/>
      <c r="D23" s="551"/>
      <c r="E23" s="552"/>
    </row>
    <row r="24" spans="2:5" s="38" customFormat="1" ht="3" customHeight="1">
      <c r="B24" s="102"/>
      <c r="C24" s="102"/>
      <c r="D24" s="102"/>
      <c r="E24" s="102"/>
    </row>
    <row r="25" spans="2:5" s="38" customFormat="1" ht="21" customHeight="1">
      <c r="B25" s="553" t="s">
        <v>334</v>
      </c>
      <c r="C25" s="554"/>
      <c r="D25" s="554"/>
      <c r="E25" s="555"/>
    </row>
    <row r="26" spans="2:5" s="38" customFormat="1" ht="21" customHeight="1">
      <c r="B26" s="556" t="str">
        <f>IF('FACT 1'!AB102=1,'FACT 1'!T92,IF('FACT 1'!AB102=2,'FACT 1'!T93,IF('FACT 1'!AB102=3,'FACT 1'!T94,IF('FACT 1'!AB102=4,'FACT 1'!T95,IF('FACT 1'!AB102=5,'FACT 1'!T96,IF('FACT 1'!AB102=6,'FACT 1'!T97,IF('FACT 1'!AB102=7,'FACT 1'!T98,IF('FACT 1'!AB102=8,'FACT 1'!T99,IF('FACT 1'!AB102=9,'FACT 1'!T100,"")))))))))</f>
        <v>rotunda</v>
      </c>
      <c r="C26" s="545"/>
      <c r="D26" s="545"/>
      <c r="E26" s="546"/>
    </row>
    <row r="27" spans="2:5" s="38" customFormat="1" ht="3" customHeight="1">
      <c r="B27" s="102"/>
      <c r="C27" s="103"/>
      <c r="D27" s="103"/>
      <c r="E27" s="103"/>
    </row>
    <row r="28" spans="2:5" s="329" customFormat="1" ht="21" customHeight="1">
      <c r="B28" s="553" t="s">
        <v>338</v>
      </c>
      <c r="C28" s="554"/>
      <c r="D28" s="554"/>
      <c r="E28" s="555"/>
    </row>
    <row r="29" spans="2:5" s="38" customFormat="1" ht="21" customHeight="1">
      <c r="B29" s="557">
        <f>IF(AGREEMENT!W29&gt;0,AGREEMENT!W29,"")</f>
        <v>800</v>
      </c>
      <c r="C29" s="558"/>
      <c r="D29" s="558"/>
      <c r="E29" s="559"/>
    </row>
    <row r="30" spans="2:5" s="38" customFormat="1" ht="3" customHeight="1">
      <c r="B30" s="102"/>
      <c r="C30" s="103"/>
      <c r="D30" s="103"/>
      <c r="E30" s="103"/>
    </row>
    <row r="31" spans="2:5" s="38" customFormat="1" ht="21" customHeight="1">
      <c r="B31" s="560" t="s">
        <v>232</v>
      </c>
      <c r="C31" s="548"/>
      <c r="D31" s="548"/>
      <c r="E31" s="549"/>
    </row>
    <row r="32" spans="2:5" s="38" customFormat="1" ht="21" customHeight="1">
      <c r="B32" s="556">
        <f>IF(AGREEMENT!R29&gt;0,AGREEMENT!R29,"")</f>
        <v>18</v>
      </c>
      <c r="C32" s="545"/>
      <c r="D32" s="545"/>
      <c r="E32" s="546"/>
    </row>
    <row r="33" spans="1:35" s="329" customFormat="1" ht="3" customHeight="1">
      <c r="B33" s="102"/>
      <c r="C33" s="103"/>
      <c r="D33" s="103"/>
      <c r="E33" s="103"/>
    </row>
    <row r="34" spans="1:35" s="38" customFormat="1" ht="21" customHeight="1">
      <c r="B34" s="547" t="s">
        <v>111</v>
      </c>
      <c r="C34" s="548"/>
      <c r="D34" s="548"/>
      <c r="E34" s="549"/>
    </row>
    <row r="35" spans="1:35" s="82" customFormat="1" ht="21" customHeight="1">
      <c r="B35" s="544" t="str">
        <f>IF('FACT 1'!W102=1,'FACT 1'!B93,IF('FACT 1'!W102=2,'FACT 1'!B94,IF('FACT 1'!W102=3,'FACT 1'!B95,IF('FACT 1'!W102=4,'FACT 1'!B96,IF('FACT 1'!W102=5,'FACT 1'!B97,IF('FACT 1'!W102=6,'FACT 1'!B98,IF('FACT 1'!W102=7,'FACT 1'!B99,"")))))))</f>
        <v>plated</v>
      </c>
      <c r="C35" s="545"/>
      <c r="D35" s="545"/>
      <c r="E35" s="546"/>
      <c r="AG35" s="86"/>
      <c r="AH35" s="86"/>
      <c r="AI35" s="86"/>
    </row>
    <row r="36" spans="1:35" s="38" customFormat="1" ht="3" customHeight="1">
      <c r="B36" s="103"/>
      <c r="C36" s="103"/>
      <c r="D36" s="103"/>
      <c r="E36" s="103"/>
      <c r="V36" s="38" t="s">
        <v>21</v>
      </c>
      <c r="AG36" s="56"/>
      <c r="AH36" s="56"/>
      <c r="AI36" s="56"/>
    </row>
    <row r="37" spans="1:35" s="38" customFormat="1" ht="21" customHeight="1">
      <c r="B37" s="547" t="s">
        <v>112</v>
      </c>
      <c r="C37" s="548"/>
      <c r="D37" s="548"/>
      <c r="E37" s="549"/>
    </row>
    <row r="38" spans="1:35" s="38" customFormat="1" ht="21" customHeight="1">
      <c r="B38" s="544" t="str">
        <f>IF('FACT 1'!T102=1,'FACT 1'!D93,IF('FACT 1'!T102=2,'FACT 1'!D94,IF('FACT 1'!T102=3,'FACT 1'!D95,IF('FACT 1'!T102=4,'FACT 1'!D96,IF('FACT 1'!T102=5,'FACT 1'!D97,IF('FACT 1'!T102=6,'FACT 1'!D98,IF('FACT 1'!T102=7,'FACT 1'!D99,IF('FACT 1'!T102=8,'FACT 1'!D100,IF('FACT 1'!T102=9,'FACT 1'!D101,IF('FACT 1'!T102=10,'FACT 1'!D102,IF('FACT 1'!T102=11,'FACT 1'!D103,IF('FACT 1'!T102=12,'FACT 1'!D104,IF('FACT 1'!T102=13,'FACT 1'!D105,"")))))))))))))</f>
        <v>none</v>
      </c>
      <c r="C38" s="545"/>
      <c r="D38" s="545"/>
      <c r="E38" s="546"/>
    </row>
    <row r="39" spans="1:35" s="38" customFormat="1" ht="3" customHeight="1">
      <c r="B39" s="99"/>
      <c r="C39" s="99"/>
      <c r="D39" s="99"/>
      <c r="E39" s="99"/>
    </row>
    <row r="40" spans="1:35" s="38" customFormat="1" ht="21" customHeight="1">
      <c r="B40" s="587" t="s">
        <v>335</v>
      </c>
      <c r="C40" s="588"/>
      <c r="D40" s="588"/>
      <c r="E40" s="589"/>
    </row>
    <row r="41" spans="1:35" s="11" customFormat="1" ht="21" customHeight="1">
      <c r="B41" s="557" t="str">
        <f>CONCATENATE(AGREEMENT!J22,", ",'FACT 1'!V19)</f>
        <v>semi-private, casual</v>
      </c>
      <c r="C41" s="558"/>
      <c r="D41" s="558"/>
      <c r="E41" s="559"/>
    </row>
    <row r="42" spans="1:35" s="11" customFormat="1" ht="4" customHeight="1">
      <c r="B42" s="104"/>
      <c r="C42" s="104"/>
      <c r="D42" s="104"/>
      <c r="E42" s="104"/>
      <c r="F42" s="320"/>
    </row>
    <row r="43" spans="1:35" s="319" customFormat="1" ht="64" customHeight="1">
      <c r="A43" s="320"/>
      <c r="B43" s="571" t="s">
        <v>371</v>
      </c>
      <c r="C43" s="572"/>
      <c r="D43" s="572"/>
      <c r="E43" s="573"/>
      <c r="F43" s="320"/>
    </row>
    <row r="44" spans="1:35" s="10" customFormat="1" ht="2" customHeight="1">
      <c r="B44"/>
      <c r="C44"/>
      <c r="D44"/>
      <c r="E44"/>
      <c r="F44"/>
      <c r="G44"/>
      <c r="H44"/>
      <c r="I44"/>
      <c r="J44"/>
      <c r="K44"/>
      <c r="L44"/>
      <c r="M44"/>
      <c r="N44"/>
      <c r="O44"/>
      <c r="P44"/>
      <c r="Q44"/>
      <c r="R44"/>
      <c r="S44"/>
      <c r="T44"/>
      <c r="U44"/>
      <c r="V44"/>
      <c r="W44"/>
      <c r="X44"/>
      <c r="Y44"/>
      <c r="Z44"/>
      <c r="AA44"/>
    </row>
    <row r="45" spans="1:35" s="10" customFormat="1" ht="25" customHeight="1">
      <c r="B45"/>
      <c r="C45"/>
      <c r="D45"/>
      <c r="E45"/>
      <c r="F45"/>
      <c r="G45"/>
      <c r="H45"/>
      <c r="I45"/>
      <c r="J45"/>
      <c r="K45"/>
      <c r="L45"/>
      <c r="M45"/>
      <c r="N45"/>
      <c r="O45"/>
      <c r="P45"/>
      <c r="Q45"/>
      <c r="R45"/>
      <c r="S45"/>
      <c r="T45"/>
      <c r="U45"/>
      <c r="V45"/>
      <c r="W45"/>
      <c r="X45"/>
      <c r="Y45"/>
      <c r="Z45"/>
      <c r="AA45"/>
    </row>
    <row r="46" spans="1:35" s="76" customFormat="1" ht="16" customHeight="1">
      <c r="B46"/>
      <c r="C46"/>
      <c r="D46"/>
      <c r="E46"/>
      <c r="F46"/>
      <c r="G46"/>
      <c r="H46"/>
      <c r="I46"/>
      <c r="J46"/>
      <c r="K46"/>
      <c r="L46"/>
      <c r="M46"/>
      <c r="N46"/>
      <c r="O46"/>
      <c r="P46"/>
      <c r="Q46"/>
      <c r="R46"/>
      <c r="S46"/>
      <c r="T46"/>
      <c r="U46"/>
      <c r="V46"/>
      <c r="W46"/>
      <c r="X46"/>
      <c r="Y46"/>
      <c r="Z46"/>
      <c r="AA46"/>
    </row>
    <row r="47" spans="1:35" s="10" customFormat="1" ht="3" customHeight="1">
      <c r="B47"/>
      <c r="C47"/>
      <c r="D47"/>
      <c r="E47"/>
      <c r="F47"/>
      <c r="G47"/>
      <c r="H47"/>
      <c r="I47"/>
      <c r="J47"/>
      <c r="K47"/>
      <c r="L47"/>
      <c r="M47"/>
      <c r="N47"/>
      <c r="O47"/>
      <c r="P47"/>
      <c r="Q47"/>
      <c r="R47"/>
      <c r="S47"/>
      <c r="T47"/>
      <c r="U47"/>
      <c r="V47"/>
      <c r="W47"/>
      <c r="X47"/>
      <c r="Y47"/>
      <c r="Z47"/>
      <c r="AA47"/>
    </row>
    <row r="48" spans="1:35">
      <c r="B48"/>
      <c r="C48"/>
      <c r="D48"/>
      <c r="E48"/>
      <c r="F48"/>
      <c r="G48"/>
      <c r="H48"/>
      <c r="I48"/>
      <c r="J48"/>
      <c r="K48"/>
      <c r="L48"/>
      <c r="M48"/>
      <c r="N48"/>
      <c r="O48"/>
      <c r="P48"/>
      <c r="Q48"/>
      <c r="R48"/>
      <c r="S48"/>
      <c r="T48"/>
      <c r="U48"/>
      <c r="V48"/>
      <c r="W48"/>
      <c r="X48"/>
      <c r="Y48"/>
      <c r="Z48"/>
      <c r="AA48"/>
    </row>
    <row r="49" spans="2:27">
      <c r="B49"/>
      <c r="C49"/>
      <c r="D49"/>
      <c r="E49"/>
      <c r="F49"/>
      <c r="G49"/>
      <c r="H49"/>
      <c r="I49"/>
      <c r="J49"/>
      <c r="K49"/>
      <c r="L49"/>
      <c r="M49"/>
      <c r="N49"/>
      <c r="O49"/>
      <c r="P49"/>
      <c r="Q49"/>
      <c r="R49"/>
      <c r="S49"/>
      <c r="T49"/>
      <c r="U49"/>
      <c r="V49"/>
      <c r="W49"/>
      <c r="X49"/>
      <c r="Y49"/>
      <c r="Z49"/>
      <c r="AA49"/>
    </row>
    <row r="50" spans="2:27">
      <c r="B50"/>
      <c r="C50"/>
      <c r="D50"/>
      <c r="E50"/>
      <c r="F50"/>
      <c r="G50"/>
      <c r="H50"/>
      <c r="I50"/>
      <c r="J50"/>
      <c r="K50"/>
      <c r="L50"/>
      <c r="M50"/>
      <c r="N50"/>
      <c r="O50"/>
      <c r="P50"/>
      <c r="Q50"/>
      <c r="R50"/>
      <c r="S50"/>
      <c r="T50"/>
      <c r="U50"/>
      <c r="V50"/>
      <c r="W50"/>
      <c r="X50"/>
      <c r="Y50"/>
      <c r="Z50"/>
      <c r="AA50"/>
    </row>
    <row r="51" spans="2:27">
      <c r="B51"/>
      <c r="C51"/>
      <c r="D51"/>
      <c r="E51"/>
      <c r="F51"/>
      <c r="G51"/>
      <c r="H51"/>
      <c r="I51"/>
      <c r="J51"/>
      <c r="K51"/>
      <c r="L51"/>
      <c r="M51"/>
      <c r="N51"/>
      <c r="O51"/>
      <c r="P51"/>
      <c r="Q51"/>
      <c r="R51"/>
      <c r="S51"/>
      <c r="T51"/>
      <c r="U51"/>
      <c r="V51"/>
      <c r="W51"/>
      <c r="X51"/>
      <c r="Y51"/>
      <c r="Z51"/>
      <c r="AA51"/>
    </row>
    <row r="52" spans="2:27">
      <c r="B52"/>
      <c r="C52"/>
      <c r="D52"/>
      <c r="E52"/>
      <c r="F52"/>
      <c r="G52"/>
      <c r="H52"/>
      <c r="I52"/>
      <c r="J52"/>
      <c r="K52"/>
      <c r="L52"/>
      <c r="M52"/>
      <c r="N52"/>
      <c r="O52"/>
      <c r="P52"/>
      <c r="Q52"/>
      <c r="R52"/>
      <c r="S52"/>
      <c r="T52"/>
      <c r="U52"/>
      <c r="V52"/>
      <c r="W52"/>
      <c r="X52"/>
      <c r="Y52"/>
      <c r="Z52"/>
      <c r="AA52"/>
    </row>
    <row r="53" spans="2:27">
      <c r="B53"/>
      <c r="C53"/>
      <c r="D53"/>
      <c r="E53"/>
      <c r="F53"/>
      <c r="G53"/>
      <c r="H53"/>
      <c r="I53"/>
      <c r="J53"/>
      <c r="K53"/>
      <c r="L53"/>
      <c r="M53"/>
      <c r="N53"/>
      <c r="O53"/>
      <c r="P53"/>
      <c r="Q53"/>
      <c r="R53"/>
      <c r="S53"/>
      <c r="T53"/>
      <c r="U53"/>
      <c r="V53"/>
      <c r="W53"/>
      <c r="X53"/>
      <c r="Y53"/>
      <c r="Z53"/>
      <c r="AA53"/>
    </row>
    <row r="54" spans="2:27">
      <c r="B54"/>
      <c r="C54"/>
      <c r="D54"/>
      <c r="E54"/>
      <c r="F54"/>
      <c r="G54"/>
      <c r="H54"/>
      <c r="I54"/>
      <c r="J54"/>
      <c r="K54"/>
      <c r="L54"/>
      <c r="M54"/>
      <c r="N54"/>
      <c r="O54"/>
      <c r="P54"/>
      <c r="Q54"/>
      <c r="R54"/>
      <c r="S54"/>
      <c r="T54"/>
      <c r="U54"/>
      <c r="V54"/>
      <c r="W54"/>
      <c r="X54"/>
      <c r="Y54"/>
      <c r="Z54"/>
      <c r="AA54"/>
    </row>
    <row r="55" spans="2:27">
      <c r="B55"/>
      <c r="C55"/>
      <c r="D55"/>
      <c r="E55"/>
      <c r="F55"/>
      <c r="G55"/>
      <c r="H55"/>
      <c r="I55"/>
      <c r="J55"/>
      <c r="K55"/>
      <c r="L55"/>
      <c r="M55"/>
      <c r="N55"/>
      <c r="O55"/>
      <c r="P55"/>
      <c r="Q55"/>
      <c r="R55"/>
      <c r="S55"/>
      <c r="T55"/>
      <c r="U55"/>
      <c r="V55"/>
      <c r="W55"/>
      <c r="X55"/>
      <c r="Y55"/>
      <c r="Z55"/>
      <c r="AA55"/>
    </row>
    <row r="56" spans="2:27">
      <c r="B56"/>
      <c r="C56"/>
      <c r="D56"/>
      <c r="E56"/>
      <c r="F56"/>
      <c r="G56"/>
      <c r="H56"/>
      <c r="I56"/>
      <c r="J56"/>
      <c r="K56"/>
      <c r="L56"/>
      <c r="M56"/>
      <c r="N56"/>
      <c r="O56"/>
      <c r="P56"/>
      <c r="Q56"/>
      <c r="R56"/>
      <c r="S56"/>
      <c r="T56"/>
      <c r="U56"/>
      <c r="V56"/>
      <c r="W56"/>
      <c r="X56"/>
      <c r="Y56"/>
      <c r="Z56"/>
      <c r="AA56"/>
    </row>
    <row r="57" spans="2:27">
      <c r="B57"/>
      <c r="C57"/>
      <c r="D57"/>
      <c r="E57"/>
      <c r="F57"/>
      <c r="G57"/>
      <c r="H57"/>
      <c r="I57"/>
      <c r="J57"/>
      <c r="K57"/>
      <c r="L57"/>
      <c r="M57"/>
      <c r="N57"/>
      <c r="O57"/>
      <c r="P57"/>
      <c r="Q57"/>
      <c r="R57"/>
      <c r="S57"/>
      <c r="T57"/>
      <c r="U57"/>
      <c r="V57"/>
      <c r="W57"/>
      <c r="X57"/>
      <c r="Y57"/>
      <c r="Z57"/>
      <c r="AA57"/>
    </row>
    <row r="58" spans="2:27" ht="5" customHeight="1">
      <c r="B58"/>
      <c r="C58"/>
      <c r="D58"/>
      <c r="E58"/>
      <c r="F58"/>
      <c r="G58"/>
      <c r="H58"/>
      <c r="I58"/>
      <c r="J58"/>
      <c r="K58"/>
      <c r="L58"/>
      <c r="M58"/>
      <c r="N58"/>
      <c r="O58"/>
      <c r="P58"/>
      <c r="Q58"/>
      <c r="R58"/>
      <c r="S58"/>
      <c r="T58"/>
      <c r="U58"/>
      <c r="V58"/>
      <c r="W58"/>
      <c r="X58"/>
      <c r="Y58"/>
      <c r="Z58"/>
      <c r="AA58"/>
    </row>
    <row r="59" spans="2:27">
      <c r="B59"/>
      <c r="C59"/>
      <c r="D59"/>
      <c r="E59"/>
      <c r="F59"/>
      <c r="G59"/>
      <c r="H59"/>
      <c r="I59"/>
      <c r="J59"/>
      <c r="K59"/>
      <c r="L59"/>
      <c r="M59"/>
      <c r="N59"/>
      <c r="O59"/>
      <c r="P59"/>
      <c r="Q59"/>
      <c r="R59"/>
      <c r="S59"/>
      <c r="T59"/>
      <c r="U59"/>
      <c r="V59"/>
      <c r="W59"/>
      <c r="X59"/>
      <c r="Y59"/>
      <c r="Z59"/>
      <c r="AA59"/>
    </row>
    <row r="60" spans="2:27">
      <c r="B60"/>
      <c r="C60"/>
      <c r="D60"/>
      <c r="E60"/>
      <c r="F60"/>
      <c r="G60"/>
      <c r="H60"/>
      <c r="I60"/>
      <c r="J60"/>
      <c r="K60"/>
      <c r="L60"/>
      <c r="M60"/>
      <c r="N60"/>
      <c r="O60"/>
      <c r="P60"/>
      <c r="Q60"/>
      <c r="R60"/>
      <c r="S60"/>
      <c r="T60"/>
      <c r="U60"/>
      <c r="V60"/>
      <c r="W60"/>
      <c r="X60"/>
      <c r="Y60"/>
      <c r="Z60"/>
      <c r="AA60"/>
    </row>
    <row r="61" spans="2:27">
      <c r="B61"/>
      <c r="C61"/>
      <c r="D61"/>
      <c r="E61"/>
      <c r="F61"/>
      <c r="G61"/>
      <c r="H61"/>
      <c r="I61"/>
      <c r="J61"/>
      <c r="K61"/>
      <c r="L61"/>
      <c r="M61"/>
      <c r="N61"/>
      <c r="O61"/>
      <c r="P61"/>
      <c r="Q61"/>
      <c r="R61"/>
      <c r="S61"/>
      <c r="T61"/>
      <c r="U61"/>
      <c r="V61"/>
      <c r="W61"/>
      <c r="X61"/>
      <c r="Y61"/>
      <c r="Z61"/>
      <c r="AA61"/>
    </row>
    <row r="62" spans="2:27">
      <c r="B62"/>
      <c r="C62"/>
      <c r="D62"/>
      <c r="E62"/>
      <c r="F62"/>
      <c r="G62"/>
      <c r="H62"/>
      <c r="I62"/>
      <c r="J62"/>
      <c r="K62"/>
      <c r="L62"/>
      <c r="M62"/>
      <c r="N62"/>
      <c r="O62"/>
      <c r="P62"/>
      <c r="Q62"/>
      <c r="R62"/>
      <c r="S62"/>
      <c r="T62"/>
      <c r="U62"/>
      <c r="V62"/>
      <c r="W62"/>
      <c r="X62"/>
      <c r="Y62"/>
      <c r="Z62"/>
      <c r="AA62"/>
    </row>
    <row r="63" spans="2:27">
      <c r="B63"/>
      <c r="C63"/>
      <c r="D63"/>
      <c r="E63"/>
      <c r="F63"/>
      <c r="G63"/>
      <c r="H63"/>
      <c r="I63"/>
      <c r="J63"/>
      <c r="K63"/>
      <c r="L63"/>
      <c r="M63"/>
      <c r="N63"/>
      <c r="O63"/>
      <c r="P63"/>
      <c r="Q63"/>
      <c r="R63"/>
      <c r="S63"/>
      <c r="T63"/>
      <c r="U63"/>
      <c r="V63"/>
      <c r="W63"/>
      <c r="X63"/>
      <c r="Y63"/>
      <c r="Z63"/>
      <c r="AA63"/>
    </row>
    <row r="64" spans="2:27" ht="5" customHeight="1">
      <c r="B64"/>
      <c r="C64"/>
      <c r="D64"/>
      <c r="E64"/>
      <c r="F64"/>
      <c r="G64"/>
      <c r="H64"/>
      <c r="I64"/>
      <c r="J64"/>
      <c r="K64"/>
      <c r="L64"/>
      <c r="M64"/>
      <c r="N64"/>
      <c r="O64"/>
      <c r="P64"/>
      <c r="Q64"/>
      <c r="R64"/>
      <c r="S64"/>
      <c r="T64"/>
      <c r="U64"/>
      <c r="V64"/>
      <c r="W64"/>
      <c r="X64"/>
      <c r="Y64"/>
      <c r="Z64"/>
      <c r="AA64"/>
    </row>
    <row r="65" spans="2:27">
      <c r="B65"/>
      <c r="C65"/>
      <c r="D65"/>
      <c r="E65"/>
      <c r="F65"/>
      <c r="G65"/>
      <c r="H65"/>
      <c r="I65"/>
      <c r="J65"/>
      <c r="K65"/>
      <c r="L65"/>
      <c r="M65"/>
      <c r="N65"/>
      <c r="O65"/>
      <c r="P65"/>
      <c r="Q65"/>
      <c r="R65"/>
      <c r="S65"/>
      <c r="T65"/>
      <c r="U65"/>
      <c r="V65"/>
      <c r="W65"/>
      <c r="X65"/>
      <c r="Y65"/>
      <c r="Z65"/>
      <c r="AA65"/>
    </row>
    <row r="66" spans="2:27">
      <c r="B66"/>
      <c r="C66"/>
      <c r="D66"/>
      <c r="E66"/>
      <c r="F66"/>
      <c r="G66"/>
      <c r="H66"/>
      <c r="I66"/>
      <c r="J66"/>
      <c r="K66"/>
      <c r="L66"/>
      <c r="M66"/>
      <c r="N66"/>
      <c r="O66"/>
      <c r="P66"/>
      <c r="Q66"/>
      <c r="R66"/>
      <c r="S66"/>
      <c r="T66"/>
      <c r="U66"/>
      <c r="V66"/>
      <c r="W66"/>
      <c r="X66"/>
      <c r="Y66"/>
      <c r="Z66"/>
      <c r="AA66"/>
    </row>
    <row r="67" spans="2:27">
      <c r="B67"/>
      <c r="C67"/>
      <c r="D67"/>
      <c r="E67"/>
      <c r="F67"/>
      <c r="G67"/>
      <c r="H67"/>
      <c r="I67"/>
      <c r="J67"/>
      <c r="K67"/>
      <c r="L67"/>
      <c r="M67"/>
      <c r="N67"/>
      <c r="O67"/>
      <c r="P67"/>
      <c r="Q67"/>
      <c r="R67"/>
      <c r="S67"/>
      <c r="T67"/>
      <c r="U67"/>
      <c r="V67"/>
      <c r="W67"/>
      <c r="X67"/>
      <c r="Y67"/>
      <c r="Z67"/>
      <c r="AA67"/>
    </row>
    <row r="68" spans="2:27">
      <c r="B68"/>
      <c r="C68"/>
      <c r="D68"/>
      <c r="E68"/>
      <c r="F68"/>
      <c r="G68"/>
      <c r="H68"/>
      <c r="I68"/>
      <c r="J68"/>
      <c r="K68"/>
      <c r="L68"/>
      <c r="M68"/>
      <c r="N68"/>
      <c r="O68"/>
      <c r="P68"/>
      <c r="Q68"/>
      <c r="R68"/>
      <c r="S68"/>
      <c r="T68"/>
      <c r="U68"/>
      <c r="V68"/>
      <c r="W68"/>
      <c r="X68"/>
      <c r="Y68"/>
      <c r="Z68"/>
      <c r="AA68"/>
    </row>
    <row r="69" spans="2:27">
      <c r="B69"/>
      <c r="C69"/>
      <c r="D69"/>
      <c r="E69"/>
      <c r="F69"/>
      <c r="G69"/>
      <c r="H69"/>
      <c r="I69"/>
      <c r="J69"/>
      <c r="K69"/>
      <c r="L69"/>
      <c r="M69"/>
      <c r="N69"/>
      <c r="O69"/>
      <c r="P69"/>
      <c r="Q69"/>
      <c r="R69"/>
      <c r="S69"/>
      <c r="T69"/>
      <c r="U69"/>
      <c r="V69"/>
      <c r="W69"/>
      <c r="X69"/>
      <c r="Y69"/>
      <c r="Z69"/>
      <c r="AA69"/>
    </row>
    <row r="70" spans="2:27">
      <c r="B70"/>
      <c r="C70"/>
      <c r="D70"/>
      <c r="E70"/>
      <c r="F70"/>
      <c r="G70"/>
      <c r="H70"/>
      <c r="I70"/>
      <c r="J70"/>
      <c r="K70"/>
      <c r="L70"/>
      <c r="M70"/>
      <c r="N70"/>
      <c r="O70"/>
      <c r="P70"/>
      <c r="Q70"/>
      <c r="R70"/>
      <c r="S70"/>
      <c r="T70"/>
      <c r="U70"/>
      <c r="V70"/>
      <c r="W70"/>
      <c r="X70"/>
      <c r="Y70"/>
      <c r="Z70"/>
      <c r="AA70"/>
    </row>
    <row r="71" spans="2:27">
      <c r="B71"/>
      <c r="C71"/>
      <c r="D71"/>
      <c r="E71"/>
      <c r="F71"/>
      <c r="G71"/>
      <c r="H71"/>
      <c r="I71"/>
      <c r="J71"/>
      <c r="K71"/>
      <c r="L71"/>
      <c r="M71"/>
      <c r="N71"/>
      <c r="O71"/>
      <c r="P71"/>
      <c r="Q71"/>
      <c r="R71"/>
      <c r="S71"/>
      <c r="T71"/>
      <c r="U71"/>
      <c r="V71"/>
      <c r="W71"/>
      <c r="X71"/>
      <c r="Y71"/>
      <c r="Z71"/>
      <c r="AA71"/>
    </row>
    <row r="72" spans="2:27">
      <c r="B72"/>
      <c r="C72"/>
      <c r="D72"/>
      <c r="E72"/>
      <c r="F72"/>
      <c r="G72"/>
      <c r="H72"/>
      <c r="I72"/>
      <c r="J72"/>
      <c r="K72"/>
      <c r="L72"/>
      <c r="M72"/>
      <c r="N72"/>
      <c r="O72"/>
      <c r="P72"/>
      <c r="Q72"/>
      <c r="R72"/>
      <c r="S72"/>
      <c r="T72"/>
      <c r="U72"/>
      <c r="V72"/>
      <c r="W72"/>
      <c r="X72"/>
      <c r="Y72"/>
      <c r="Z72"/>
      <c r="AA72"/>
    </row>
    <row r="73" spans="2:27">
      <c r="B73"/>
      <c r="C73"/>
      <c r="D73"/>
      <c r="E73"/>
      <c r="F73"/>
      <c r="G73"/>
      <c r="H73"/>
      <c r="I73"/>
      <c r="J73"/>
      <c r="K73"/>
      <c r="L73"/>
      <c r="M73"/>
      <c r="N73"/>
      <c r="O73"/>
      <c r="P73"/>
      <c r="Q73"/>
      <c r="R73"/>
      <c r="S73"/>
      <c r="T73"/>
      <c r="U73"/>
      <c r="V73"/>
      <c r="W73"/>
      <c r="X73"/>
      <c r="Y73"/>
      <c r="Z73"/>
      <c r="AA73"/>
    </row>
    <row r="74" spans="2:27">
      <c r="B74"/>
      <c r="C74"/>
      <c r="D74"/>
      <c r="E74"/>
      <c r="F74"/>
      <c r="G74"/>
      <c r="H74"/>
      <c r="I74"/>
      <c r="J74"/>
      <c r="K74"/>
      <c r="L74"/>
      <c r="M74"/>
      <c r="N74"/>
      <c r="O74"/>
      <c r="P74"/>
      <c r="Q74"/>
      <c r="R74"/>
      <c r="S74"/>
      <c r="T74"/>
      <c r="U74"/>
      <c r="V74"/>
      <c r="W74"/>
      <c r="X74"/>
      <c r="Y74"/>
      <c r="Z74"/>
      <c r="AA74"/>
    </row>
    <row r="75" spans="2:27">
      <c r="B75"/>
      <c r="C75"/>
      <c r="D75"/>
      <c r="E75"/>
      <c r="F75"/>
      <c r="G75"/>
      <c r="H75"/>
      <c r="I75"/>
      <c r="J75"/>
      <c r="K75"/>
      <c r="L75"/>
      <c r="M75"/>
      <c r="N75"/>
      <c r="O75"/>
      <c r="P75"/>
      <c r="Q75"/>
      <c r="R75"/>
      <c r="S75"/>
      <c r="T75"/>
      <c r="U75"/>
      <c r="V75"/>
      <c r="W75"/>
      <c r="X75"/>
      <c r="Y75"/>
      <c r="Z75"/>
      <c r="AA75"/>
    </row>
    <row r="76" spans="2:27">
      <c r="B76"/>
      <c r="C76"/>
      <c r="D76"/>
      <c r="E76"/>
      <c r="F76"/>
      <c r="G76"/>
      <c r="H76"/>
      <c r="I76"/>
      <c r="J76"/>
      <c r="K76"/>
      <c r="L76"/>
      <c r="M76"/>
      <c r="N76"/>
      <c r="O76"/>
      <c r="P76"/>
      <c r="Q76"/>
      <c r="R76"/>
      <c r="S76"/>
      <c r="T76"/>
      <c r="U76"/>
      <c r="V76"/>
      <c r="W76"/>
      <c r="X76"/>
      <c r="Y76"/>
      <c r="Z76"/>
      <c r="AA76"/>
    </row>
    <row r="77" spans="2:27">
      <c r="B77"/>
      <c r="C77"/>
      <c r="D77"/>
      <c r="E77"/>
      <c r="F77"/>
      <c r="G77"/>
      <c r="H77"/>
      <c r="I77"/>
      <c r="J77"/>
      <c r="K77"/>
      <c r="L77"/>
      <c r="M77"/>
      <c r="N77"/>
      <c r="O77"/>
      <c r="P77"/>
      <c r="Q77"/>
      <c r="R77"/>
      <c r="S77"/>
      <c r="T77"/>
      <c r="U77"/>
      <c r="V77"/>
      <c r="W77"/>
      <c r="X77"/>
      <c r="Y77"/>
      <c r="Z77"/>
      <c r="AA77"/>
    </row>
    <row r="78" spans="2:27">
      <c r="B78"/>
      <c r="C78"/>
      <c r="D78"/>
      <c r="E78"/>
      <c r="F78"/>
      <c r="G78"/>
      <c r="H78"/>
      <c r="I78"/>
      <c r="J78"/>
      <c r="K78"/>
      <c r="L78"/>
      <c r="M78"/>
      <c r="N78"/>
      <c r="O78"/>
      <c r="P78"/>
      <c r="Q78"/>
      <c r="R78"/>
      <c r="S78"/>
      <c r="T78"/>
      <c r="U78"/>
      <c r="V78"/>
      <c r="W78"/>
      <c r="X78"/>
      <c r="Y78"/>
      <c r="Z78"/>
      <c r="AA78"/>
    </row>
    <row r="79" spans="2:27">
      <c r="B79"/>
      <c r="C79"/>
      <c r="D79"/>
      <c r="E79"/>
      <c r="F79"/>
      <c r="G79"/>
      <c r="H79"/>
      <c r="I79"/>
      <c r="J79"/>
      <c r="K79"/>
      <c r="L79"/>
      <c r="M79"/>
      <c r="N79"/>
      <c r="O79"/>
      <c r="P79"/>
      <c r="Q79"/>
      <c r="R79"/>
      <c r="S79"/>
      <c r="T79"/>
      <c r="U79"/>
      <c r="V79"/>
      <c r="W79"/>
      <c r="X79"/>
      <c r="Y79"/>
      <c r="Z79"/>
      <c r="AA79"/>
    </row>
    <row r="80" spans="2:27">
      <c r="B80"/>
      <c r="C80"/>
      <c r="D80"/>
      <c r="E80"/>
      <c r="F80"/>
      <c r="G80"/>
      <c r="H80"/>
      <c r="I80"/>
      <c r="J80"/>
      <c r="K80"/>
      <c r="L80"/>
      <c r="M80"/>
      <c r="N80"/>
      <c r="O80"/>
      <c r="P80"/>
      <c r="Q80"/>
      <c r="R80"/>
      <c r="S80"/>
      <c r="T80"/>
      <c r="U80"/>
      <c r="V80"/>
      <c r="W80"/>
      <c r="X80"/>
      <c r="Y80"/>
      <c r="Z80"/>
      <c r="AA80"/>
    </row>
    <row r="81" spans="2:27">
      <c r="B81"/>
      <c r="C81"/>
      <c r="D81"/>
      <c r="E81"/>
      <c r="F81"/>
      <c r="G81"/>
      <c r="H81"/>
      <c r="I81"/>
      <c r="J81"/>
      <c r="K81"/>
      <c r="L81"/>
      <c r="M81"/>
      <c r="N81"/>
      <c r="O81"/>
      <c r="P81"/>
      <c r="Q81"/>
      <c r="R81"/>
      <c r="S81"/>
      <c r="T81"/>
      <c r="U81"/>
      <c r="V81"/>
      <c r="W81"/>
      <c r="X81"/>
      <c r="Y81"/>
      <c r="Z81"/>
      <c r="AA81"/>
    </row>
    <row r="82" spans="2:27">
      <c r="B82"/>
      <c r="C82"/>
      <c r="D82"/>
      <c r="E82"/>
      <c r="F82"/>
      <c r="G82"/>
      <c r="H82"/>
      <c r="I82"/>
      <c r="J82"/>
      <c r="K82"/>
      <c r="L82"/>
      <c r="M82"/>
      <c r="N82"/>
      <c r="O82"/>
      <c r="P82"/>
      <c r="Q82"/>
      <c r="R82"/>
      <c r="S82"/>
      <c r="T82"/>
      <c r="U82"/>
      <c r="V82"/>
      <c r="W82"/>
      <c r="X82"/>
      <c r="Y82"/>
      <c r="Z82"/>
      <c r="AA82"/>
    </row>
    <row r="83" spans="2:27">
      <c r="B83"/>
      <c r="C83"/>
      <c r="D83"/>
      <c r="E83"/>
      <c r="F83"/>
      <c r="G83"/>
      <c r="H83"/>
      <c r="I83"/>
      <c r="J83"/>
      <c r="K83"/>
      <c r="L83"/>
      <c r="M83"/>
      <c r="N83"/>
      <c r="O83"/>
      <c r="P83"/>
      <c r="Q83"/>
      <c r="R83"/>
      <c r="S83"/>
      <c r="T83"/>
      <c r="U83"/>
      <c r="V83"/>
      <c r="W83"/>
      <c r="X83"/>
      <c r="Y83"/>
      <c r="Z83"/>
      <c r="AA83"/>
    </row>
    <row r="84" spans="2:27">
      <c r="B84"/>
      <c r="C84"/>
      <c r="D84"/>
      <c r="E84"/>
      <c r="F84"/>
      <c r="G84"/>
      <c r="H84"/>
      <c r="I84"/>
      <c r="J84"/>
      <c r="K84"/>
      <c r="L84"/>
      <c r="M84"/>
      <c r="N84"/>
      <c r="O84"/>
      <c r="P84"/>
      <c r="Q84"/>
      <c r="R84"/>
      <c r="S84"/>
      <c r="T84"/>
      <c r="U84"/>
      <c r="V84"/>
      <c r="W84"/>
      <c r="X84"/>
      <c r="Y84"/>
      <c r="Z84"/>
      <c r="AA84"/>
    </row>
    <row r="85" spans="2:27">
      <c r="B85"/>
      <c r="C85"/>
      <c r="D85"/>
      <c r="E85"/>
      <c r="F85"/>
      <c r="G85"/>
      <c r="H85"/>
      <c r="I85"/>
      <c r="J85"/>
      <c r="K85"/>
      <c r="L85"/>
      <c r="M85"/>
      <c r="N85"/>
      <c r="O85"/>
      <c r="P85"/>
      <c r="Q85"/>
      <c r="R85"/>
      <c r="S85"/>
      <c r="T85"/>
      <c r="U85"/>
      <c r="V85"/>
      <c r="W85"/>
      <c r="X85"/>
      <c r="Y85"/>
      <c r="Z85"/>
      <c r="AA85"/>
    </row>
    <row r="86" spans="2:27">
      <c r="B86"/>
      <c r="C86"/>
      <c r="D86"/>
      <c r="E86"/>
      <c r="F86"/>
      <c r="G86"/>
      <c r="H86"/>
      <c r="I86"/>
      <c r="J86"/>
      <c r="K86"/>
      <c r="L86"/>
      <c r="M86"/>
      <c r="N86"/>
      <c r="O86"/>
      <c r="P86"/>
      <c r="Q86"/>
      <c r="R86"/>
      <c r="S86"/>
      <c r="T86"/>
      <c r="U86"/>
      <c r="V86"/>
      <c r="W86"/>
      <c r="X86"/>
      <c r="Y86"/>
      <c r="Z86"/>
      <c r="AA86"/>
    </row>
    <row r="87" spans="2:27">
      <c r="B87"/>
      <c r="C87"/>
      <c r="D87"/>
      <c r="E87"/>
      <c r="F87"/>
      <c r="G87"/>
      <c r="H87"/>
      <c r="I87"/>
      <c r="J87"/>
      <c r="K87"/>
      <c r="L87"/>
      <c r="M87"/>
      <c r="N87"/>
      <c r="O87"/>
      <c r="P87"/>
      <c r="Q87"/>
      <c r="R87"/>
      <c r="S87"/>
      <c r="T87"/>
      <c r="U87"/>
      <c r="V87"/>
      <c r="W87"/>
      <c r="X87"/>
      <c r="Y87"/>
      <c r="Z87"/>
      <c r="AA87"/>
    </row>
    <row r="88" spans="2:27">
      <c r="B88"/>
      <c r="C88"/>
      <c r="D88"/>
      <c r="E88"/>
      <c r="F88"/>
      <c r="G88"/>
      <c r="H88"/>
      <c r="I88"/>
      <c r="J88"/>
      <c r="K88"/>
      <c r="L88"/>
      <c r="M88"/>
      <c r="N88"/>
      <c r="O88"/>
      <c r="P88"/>
      <c r="Q88"/>
      <c r="R88"/>
      <c r="S88"/>
      <c r="T88"/>
      <c r="U88"/>
      <c r="V88"/>
      <c r="W88"/>
      <c r="X88"/>
      <c r="Y88"/>
      <c r="Z88"/>
      <c r="AA88"/>
    </row>
    <row r="89" spans="2:27">
      <c r="B89"/>
      <c r="C89"/>
      <c r="D89"/>
      <c r="E89"/>
      <c r="F89"/>
      <c r="G89"/>
      <c r="H89"/>
      <c r="I89"/>
      <c r="J89"/>
      <c r="K89"/>
      <c r="L89"/>
      <c r="M89"/>
      <c r="N89"/>
      <c r="O89"/>
      <c r="P89"/>
      <c r="Q89"/>
      <c r="R89"/>
      <c r="S89"/>
      <c r="T89"/>
      <c r="U89"/>
      <c r="V89"/>
      <c r="W89"/>
      <c r="X89"/>
      <c r="Y89"/>
      <c r="Z89"/>
      <c r="AA89"/>
    </row>
    <row r="90" spans="2:27">
      <c r="B90"/>
      <c r="C90"/>
      <c r="D90"/>
      <c r="E90"/>
      <c r="F90"/>
      <c r="G90"/>
      <c r="H90"/>
      <c r="I90"/>
      <c r="J90"/>
      <c r="K90"/>
      <c r="L90"/>
      <c r="M90"/>
      <c r="N90"/>
      <c r="O90"/>
      <c r="P90"/>
      <c r="Q90"/>
      <c r="R90"/>
      <c r="S90"/>
      <c r="T90"/>
      <c r="U90"/>
      <c r="V90"/>
      <c r="W90"/>
      <c r="X90"/>
      <c r="Y90"/>
      <c r="Z90"/>
      <c r="AA90"/>
    </row>
    <row r="91" spans="2:27">
      <c r="B91"/>
      <c r="C91"/>
      <c r="D91"/>
      <c r="E91"/>
      <c r="F91"/>
      <c r="G91"/>
      <c r="H91"/>
      <c r="I91"/>
      <c r="J91"/>
      <c r="K91"/>
      <c r="L91"/>
      <c r="M91"/>
      <c r="N91"/>
      <c r="O91"/>
      <c r="P91"/>
      <c r="Q91"/>
      <c r="R91"/>
      <c r="S91"/>
      <c r="T91"/>
      <c r="U91"/>
      <c r="V91"/>
      <c r="W91"/>
      <c r="X91"/>
      <c r="Y91"/>
      <c r="Z91"/>
      <c r="AA91"/>
    </row>
    <row r="92" spans="2:27">
      <c r="B92"/>
      <c r="C92"/>
      <c r="D92"/>
      <c r="E92"/>
      <c r="F92"/>
      <c r="G92"/>
      <c r="H92"/>
      <c r="I92"/>
      <c r="J92"/>
      <c r="K92"/>
      <c r="L92"/>
      <c r="M92"/>
      <c r="N92"/>
      <c r="O92"/>
      <c r="P92"/>
      <c r="Q92"/>
      <c r="R92"/>
      <c r="S92"/>
      <c r="T92"/>
      <c r="U92"/>
      <c r="V92"/>
      <c r="W92"/>
      <c r="X92"/>
      <c r="Y92"/>
      <c r="Z92"/>
      <c r="AA92"/>
    </row>
    <row r="93" spans="2:27">
      <c r="B93"/>
      <c r="C93"/>
      <c r="D93"/>
      <c r="E93"/>
      <c r="F93"/>
      <c r="G93"/>
      <c r="H93"/>
      <c r="I93"/>
      <c r="J93"/>
      <c r="K93"/>
      <c r="L93"/>
      <c r="M93"/>
      <c r="N93"/>
      <c r="O93"/>
      <c r="P93"/>
      <c r="Q93"/>
      <c r="R93"/>
      <c r="S93"/>
      <c r="T93"/>
      <c r="U93"/>
      <c r="V93"/>
      <c r="W93"/>
      <c r="X93"/>
      <c r="Y93"/>
      <c r="Z93"/>
      <c r="AA93"/>
    </row>
    <row r="94" spans="2:27">
      <c r="B94"/>
      <c r="C94"/>
      <c r="D94"/>
      <c r="E94"/>
      <c r="F94"/>
      <c r="G94"/>
      <c r="H94"/>
      <c r="I94"/>
      <c r="J94"/>
      <c r="K94"/>
      <c r="L94"/>
      <c r="M94"/>
      <c r="N94"/>
      <c r="O94"/>
      <c r="P94"/>
      <c r="Q94"/>
      <c r="R94"/>
      <c r="S94"/>
      <c r="T94"/>
      <c r="U94"/>
      <c r="V94"/>
      <c r="W94"/>
      <c r="X94"/>
      <c r="Y94"/>
      <c r="Z94"/>
      <c r="AA94"/>
    </row>
    <row r="95" spans="2:27">
      <c r="B95"/>
      <c r="C95"/>
      <c r="D95"/>
      <c r="E95"/>
      <c r="F95"/>
      <c r="G95"/>
      <c r="H95"/>
      <c r="I95"/>
      <c r="J95"/>
      <c r="K95"/>
      <c r="L95"/>
      <c r="M95"/>
      <c r="N95"/>
      <c r="O95"/>
      <c r="P95"/>
      <c r="Q95"/>
      <c r="R95"/>
      <c r="S95"/>
      <c r="T95"/>
      <c r="U95"/>
      <c r="V95"/>
      <c r="W95"/>
      <c r="X95"/>
      <c r="Y95"/>
      <c r="Z95"/>
      <c r="AA95"/>
    </row>
    <row r="96" spans="2:27">
      <c r="B96"/>
      <c r="C96"/>
      <c r="D96"/>
      <c r="E96"/>
      <c r="F96"/>
      <c r="G96"/>
      <c r="H96"/>
      <c r="I96"/>
      <c r="J96"/>
      <c r="K96"/>
      <c r="L96"/>
      <c r="M96"/>
      <c r="N96"/>
      <c r="O96"/>
      <c r="P96"/>
      <c r="Q96"/>
      <c r="R96"/>
      <c r="S96"/>
      <c r="T96"/>
      <c r="U96"/>
      <c r="V96"/>
      <c r="W96"/>
      <c r="X96"/>
      <c r="Y96"/>
      <c r="Z96"/>
      <c r="AA96"/>
    </row>
    <row r="97" spans="2:27">
      <c r="B97"/>
      <c r="C97"/>
      <c r="D97"/>
      <c r="E97"/>
      <c r="F97"/>
      <c r="G97"/>
      <c r="H97"/>
      <c r="I97"/>
      <c r="J97"/>
      <c r="K97"/>
      <c r="L97"/>
      <c r="M97"/>
      <c r="N97"/>
      <c r="O97"/>
      <c r="P97"/>
      <c r="Q97"/>
      <c r="R97"/>
      <c r="S97"/>
      <c r="T97"/>
      <c r="U97"/>
      <c r="V97"/>
      <c r="W97"/>
      <c r="X97"/>
      <c r="Y97"/>
      <c r="Z97"/>
      <c r="AA97"/>
    </row>
    <row r="98" spans="2:27">
      <c r="B98"/>
      <c r="C98"/>
      <c r="D98"/>
      <c r="E98"/>
      <c r="F98"/>
      <c r="G98"/>
      <c r="H98"/>
      <c r="I98"/>
      <c r="J98"/>
      <c r="K98"/>
      <c r="L98"/>
      <c r="M98"/>
      <c r="N98"/>
      <c r="O98"/>
      <c r="P98"/>
      <c r="Q98"/>
      <c r="R98"/>
      <c r="S98"/>
      <c r="T98"/>
      <c r="U98"/>
      <c r="V98"/>
      <c r="W98"/>
      <c r="X98"/>
      <c r="Y98"/>
      <c r="Z98"/>
      <c r="AA98"/>
    </row>
    <row r="99" spans="2:27">
      <c r="B99"/>
      <c r="C99"/>
      <c r="D99"/>
      <c r="E99"/>
      <c r="F99"/>
      <c r="G99"/>
      <c r="H99"/>
      <c r="I99"/>
      <c r="J99"/>
      <c r="K99"/>
      <c r="L99"/>
      <c r="M99"/>
      <c r="N99"/>
      <c r="O99"/>
      <c r="P99"/>
      <c r="Q99"/>
      <c r="R99"/>
      <c r="S99"/>
      <c r="T99"/>
      <c r="U99"/>
      <c r="V99"/>
      <c r="W99"/>
      <c r="X99"/>
      <c r="Y99"/>
      <c r="Z99"/>
      <c r="AA99"/>
    </row>
    <row r="100" spans="2:27">
      <c r="B100"/>
      <c r="C100"/>
      <c r="D100"/>
      <c r="E100"/>
      <c r="F100"/>
      <c r="G100"/>
      <c r="H100"/>
      <c r="I100"/>
      <c r="J100"/>
      <c r="K100"/>
      <c r="L100"/>
      <c r="M100"/>
      <c r="N100"/>
      <c r="O100"/>
      <c r="P100"/>
      <c r="Q100"/>
      <c r="R100"/>
      <c r="S100"/>
      <c r="T100"/>
      <c r="U100"/>
      <c r="V100"/>
      <c r="W100"/>
      <c r="X100"/>
      <c r="Y100"/>
      <c r="Z100"/>
      <c r="AA100"/>
    </row>
    <row r="101" spans="2:27">
      <c r="B101"/>
      <c r="C101"/>
      <c r="D101"/>
      <c r="E101"/>
      <c r="F101"/>
      <c r="G101"/>
      <c r="H101"/>
      <c r="I101"/>
      <c r="J101"/>
      <c r="K101"/>
      <c r="L101"/>
      <c r="M101"/>
      <c r="N101"/>
      <c r="O101"/>
      <c r="P101"/>
      <c r="Q101"/>
      <c r="R101"/>
      <c r="S101"/>
      <c r="T101"/>
      <c r="U101"/>
      <c r="V101"/>
      <c r="W101"/>
      <c r="X101"/>
      <c r="Y101"/>
      <c r="Z101"/>
      <c r="AA101"/>
    </row>
    <row r="102" spans="2:27">
      <c r="B102"/>
      <c r="C102"/>
      <c r="D102"/>
      <c r="E102"/>
      <c r="F102"/>
      <c r="G102"/>
      <c r="H102"/>
      <c r="I102"/>
      <c r="J102"/>
      <c r="K102"/>
      <c r="L102"/>
      <c r="M102"/>
      <c r="N102"/>
      <c r="O102"/>
      <c r="P102"/>
      <c r="Q102"/>
      <c r="R102"/>
      <c r="S102"/>
      <c r="T102"/>
      <c r="U102"/>
      <c r="V102"/>
      <c r="W102"/>
      <c r="X102"/>
      <c r="Y102"/>
      <c r="Z102"/>
      <c r="AA102"/>
    </row>
    <row r="103" spans="2:27">
      <c r="B103"/>
      <c r="C103"/>
      <c r="D103"/>
      <c r="E103"/>
      <c r="F103"/>
      <c r="G103"/>
      <c r="H103"/>
      <c r="I103"/>
      <c r="J103"/>
      <c r="K103"/>
      <c r="L103"/>
      <c r="M103"/>
      <c r="N103"/>
      <c r="O103"/>
      <c r="P103"/>
      <c r="Q103"/>
      <c r="R103"/>
      <c r="S103"/>
      <c r="T103"/>
      <c r="U103"/>
      <c r="V103"/>
      <c r="W103"/>
      <c r="X103"/>
      <c r="Y103"/>
      <c r="Z103"/>
      <c r="AA103"/>
    </row>
    <row r="104" spans="2:27">
      <c r="B104"/>
      <c r="C104"/>
      <c r="D104"/>
      <c r="E104"/>
      <c r="F104"/>
      <c r="G104"/>
      <c r="H104"/>
      <c r="I104"/>
      <c r="J104"/>
      <c r="K104"/>
      <c r="L104"/>
      <c r="M104"/>
      <c r="N104"/>
      <c r="O104"/>
      <c r="P104"/>
      <c r="Q104"/>
      <c r="R104"/>
      <c r="S104"/>
      <c r="T104"/>
      <c r="U104"/>
      <c r="V104"/>
      <c r="W104"/>
      <c r="X104"/>
      <c r="Y104"/>
      <c r="Z104"/>
      <c r="AA104"/>
    </row>
    <row r="105" spans="2:27">
      <c r="B105"/>
      <c r="C105"/>
      <c r="D105"/>
      <c r="E105"/>
      <c r="F105"/>
      <c r="G105"/>
      <c r="H105"/>
      <c r="I105"/>
      <c r="J105"/>
      <c r="K105"/>
      <c r="L105"/>
      <c r="M105"/>
      <c r="N105"/>
      <c r="O105"/>
      <c r="P105"/>
      <c r="Q105"/>
      <c r="R105"/>
      <c r="S105"/>
      <c r="T105"/>
      <c r="U105"/>
      <c r="V105"/>
      <c r="W105"/>
      <c r="X105"/>
      <c r="Y105"/>
      <c r="Z105"/>
      <c r="AA105"/>
    </row>
    <row r="106" spans="2:27" ht="105" customHeight="1">
      <c r="B106"/>
      <c r="C106"/>
      <c r="D106"/>
      <c r="E106"/>
      <c r="F106"/>
      <c r="G106"/>
      <c r="H106"/>
      <c r="I106"/>
      <c r="J106"/>
      <c r="K106"/>
      <c r="L106"/>
      <c r="M106"/>
      <c r="N106"/>
      <c r="O106"/>
      <c r="P106"/>
      <c r="Q106"/>
      <c r="R106"/>
      <c r="S106"/>
      <c r="T106"/>
      <c r="U106"/>
      <c r="V106"/>
      <c r="W106"/>
      <c r="X106"/>
      <c r="Y106"/>
      <c r="Z106"/>
      <c r="AA106"/>
    </row>
    <row r="107" spans="2:27" ht="5" customHeight="1">
      <c r="B107"/>
      <c r="C107"/>
      <c r="D107"/>
      <c r="E107"/>
      <c r="F107"/>
      <c r="G107"/>
      <c r="H107"/>
      <c r="I107"/>
      <c r="J107"/>
      <c r="K107"/>
      <c r="L107"/>
      <c r="M107"/>
      <c r="N107"/>
      <c r="O107"/>
      <c r="P107"/>
      <c r="Q107"/>
      <c r="R107"/>
      <c r="S107"/>
      <c r="T107"/>
      <c r="U107"/>
      <c r="V107"/>
      <c r="W107"/>
      <c r="X107"/>
      <c r="Y107"/>
      <c r="Z107"/>
      <c r="AA107"/>
    </row>
    <row r="108" spans="2:27">
      <c r="B108"/>
      <c r="C108"/>
      <c r="D108"/>
      <c r="E108"/>
      <c r="F108"/>
      <c r="G108"/>
      <c r="H108"/>
      <c r="I108"/>
      <c r="J108"/>
      <c r="K108"/>
      <c r="L108"/>
      <c r="M108"/>
      <c r="N108"/>
      <c r="O108"/>
      <c r="P108"/>
      <c r="Q108"/>
      <c r="R108"/>
      <c r="S108"/>
      <c r="T108"/>
      <c r="U108"/>
      <c r="V108"/>
      <c r="W108"/>
      <c r="X108"/>
      <c r="Y108"/>
      <c r="Z108"/>
      <c r="AA108"/>
    </row>
    <row r="109" spans="2:27">
      <c r="B109"/>
      <c r="C109"/>
      <c r="D109"/>
      <c r="E109"/>
      <c r="F109"/>
      <c r="G109"/>
      <c r="H109"/>
      <c r="I109"/>
      <c r="J109"/>
      <c r="K109"/>
      <c r="L109"/>
      <c r="M109"/>
      <c r="N109"/>
      <c r="O109"/>
      <c r="P109"/>
      <c r="Q109"/>
      <c r="R109"/>
      <c r="S109"/>
      <c r="T109"/>
      <c r="U109"/>
      <c r="V109"/>
      <c r="W109"/>
      <c r="X109"/>
      <c r="Y109"/>
      <c r="Z109"/>
      <c r="AA109"/>
    </row>
    <row r="110" spans="2:27">
      <c r="B110"/>
      <c r="C110"/>
      <c r="D110"/>
      <c r="E110"/>
      <c r="F110"/>
      <c r="G110"/>
      <c r="H110"/>
      <c r="I110"/>
      <c r="J110"/>
      <c r="K110"/>
      <c r="L110"/>
      <c r="M110"/>
      <c r="N110"/>
      <c r="O110"/>
      <c r="P110"/>
      <c r="Q110"/>
      <c r="R110"/>
      <c r="S110"/>
      <c r="T110"/>
      <c r="U110"/>
      <c r="V110"/>
      <c r="W110"/>
      <c r="X110"/>
      <c r="Y110"/>
      <c r="Z110"/>
      <c r="AA110"/>
    </row>
    <row r="111" spans="2:27">
      <c r="B111"/>
      <c r="C111"/>
      <c r="D111"/>
      <c r="E111"/>
      <c r="F111"/>
      <c r="G111"/>
      <c r="H111"/>
      <c r="I111"/>
      <c r="J111"/>
      <c r="K111"/>
      <c r="L111"/>
      <c r="M111"/>
      <c r="N111"/>
      <c r="O111"/>
      <c r="P111"/>
      <c r="Q111"/>
      <c r="R111"/>
      <c r="S111"/>
      <c r="T111"/>
      <c r="U111"/>
      <c r="V111"/>
      <c r="W111"/>
      <c r="X111"/>
      <c r="Y111"/>
      <c r="Z111"/>
      <c r="AA111"/>
    </row>
    <row r="112" spans="2:27">
      <c r="B112"/>
      <c r="C112"/>
      <c r="D112"/>
      <c r="E112"/>
      <c r="F112"/>
      <c r="G112"/>
      <c r="H112"/>
      <c r="I112"/>
      <c r="J112"/>
      <c r="K112"/>
      <c r="L112"/>
      <c r="M112"/>
      <c r="N112"/>
      <c r="O112"/>
      <c r="P112"/>
      <c r="Q112"/>
      <c r="R112"/>
      <c r="S112"/>
      <c r="T112"/>
      <c r="U112"/>
      <c r="V112"/>
      <c r="W112"/>
      <c r="X112"/>
      <c r="Y112"/>
      <c r="Z112"/>
      <c r="AA112"/>
    </row>
    <row r="113" spans="2:27">
      <c r="B113"/>
      <c r="C113"/>
      <c r="D113"/>
      <c r="E113"/>
      <c r="F113"/>
      <c r="G113"/>
      <c r="H113"/>
      <c r="I113"/>
      <c r="J113"/>
      <c r="K113"/>
      <c r="L113"/>
      <c r="M113"/>
      <c r="N113"/>
      <c r="O113"/>
      <c r="P113"/>
      <c r="Q113"/>
      <c r="R113"/>
      <c r="S113"/>
      <c r="T113"/>
      <c r="U113"/>
      <c r="V113"/>
      <c r="W113"/>
      <c r="X113"/>
      <c r="Y113"/>
      <c r="Z113"/>
      <c r="AA113"/>
    </row>
    <row r="114" spans="2:27">
      <c r="B114"/>
      <c r="C114"/>
      <c r="D114"/>
      <c r="E114"/>
      <c r="F114"/>
      <c r="G114"/>
      <c r="H114"/>
      <c r="I114"/>
      <c r="J114"/>
      <c r="K114"/>
      <c r="L114"/>
      <c r="M114"/>
      <c r="N114"/>
      <c r="O114"/>
      <c r="P114"/>
      <c r="Q114"/>
      <c r="R114"/>
      <c r="S114"/>
      <c r="T114"/>
      <c r="U114"/>
      <c r="V114"/>
      <c r="W114"/>
      <c r="X114"/>
      <c r="Y114"/>
      <c r="Z114"/>
      <c r="AA114"/>
    </row>
    <row r="115" spans="2:27">
      <c r="B115"/>
      <c r="C115"/>
      <c r="D115"/>
      <c r="E115"/>
      <c r="F115"/>
      <c r="G115"/>
      <c r="H115"/>
      <c r="I115"/>
      <c r="J115"/>
      <c r="K115"/>
      <c r="L115"/>
      <c r="M115"/>
      <c r="N115"/>
      <c r="O115"/>
      <c r="P115"/>
      <c r="Q115"/>
      <c r="R115"/>
      <c r="S115"/>
      <c r="T115"/>
      <c r="U115"/>
      <c r="V115"/>
      <c r="W115"/>
      <c r="X115"/>
      <c r="Y115"/>
      <c r="Z115"/>
      <c r="AA115"/>
    </row>
    <row r="116" spans="2:27">
      <c r="B116"/>
      <c r="C116"/>
      <c r="D116"/>
      <c r="E116"/>
      <c r="F116"/>
      <c r="G116"/>
      <c r="H116"/>
      <c r="I116"/>
      <c r="J116"/>
      <c r="K116"/>
      <c r="L116"/>
      <c r="M116"/>
      <c r="N116"/>
      <c r="O116"/>
      <c r="P116"/>
      <c r="Q116"/>
      <c r="R116"/>
      <c r="S116"/>
      <c r="T116"/>
      <c r="U116"/>
      <c r="V116"/>
      <c r="W116"/>
      <c r="X116"/>
      <c r="Y116"/>
      <c r="Z116"/>
      <c r="AA116"/>
    </row>
    <row r="117" spans="2:27">
      <c r="B117"/>
      <c r="C117"/>
      <c r="D117"/>
      <c r="E117"/>
      <c r="F117"/>
      <c r="G117"/>
      <c r="H117"/>
      <c r="I117"/>
      <c r="J117"/>
      <c r="K117"/>
      <c r="L117"/>
      <c r="M117"/>
      <c r="N117"/>
      <c r="O117"/>
      <c r="P117"/>
      <c r="Q117"/>
      <c r="R117"/>
      <c r="S117"/>
      <c r="T117"/>
      <c r="U117"/>
      <c r="V117"/>
      <c r="W117"/>
      <c r="X117"/>
      <c r="Y117"/>
      <c r="Z117"/>
      <c r="AA117"/>
    </row>
    <row r="118" spans="2:27">
      <c r="B118"/>
      <c r="C118"/>
      <c r="D118"/>
      <c r="E118"/>
      <c r="F118"/>
      <c r="G118"/>
      <c r="H118"/>
      <c r="I118"/>
      <c r="J118"/>
      <c r="K118"/>
      <c r="L118"/>
      <c r="M118"/>
      <c r="N118"/>
      <c r="O118"/>
      <c r="P118"/>
      <c r="Q118"/>
      <c r="R118"/>
      <c r="S118"/>
      <c r="T118"/>
      <c r="U118"/>
      <c r="V118"/>
      <c r="W118"/>
      <c r="X118"/>
      <c r="Y118"/>
      <c r="Z118"/>
      <c r="AA118"/>
    </row>
    <row r="119" spans="2:27">
      <c r="B119"/>
      <c r="C119"/>
      <c r="D119"/>
      <c r="E119"/>
      <c r="F119"/>
      <c r="G119"/>
      <c r="H119"/>
      <c r="I119"/>
      <c r="J119"/>
      <c r="K119"/>
      <c r="L119"/>
      <c r="M119"/>
      <c r="N119"/>
      <c r="O119"/>
      <c r="P119"/>
      <c r="Q119"/>
      <c r="R119"/>
      <c r="S119"/>
      <c r="T119"/>
      <c r="U119"/>
      <c r="V119"/>
      <c r="W119"/>
      <c r="X119"/>
      <c r="Y119"/>
      <c r="Z119"/>
      <c r="AA119"/>
    </row>
    <row r="120" spans="2:27" ht="10" customHeight="1"/>
  </sheetData>
  <sheetProtection sheet="1" objects="1" scenarios="1" selectLockedCells="1" selectUnlockedCells="1"/>
  <mergeCells count="35">
    <mergeCell ref="B38:E38"/>
    <mergeCell ref="B40:E40"/>
    <mergeCell ref="B41:E41"/>
    <mergeCell ref="B43:E43"/>
    <mergeCell ref="B29:E29"/>
    <mergeCell ref="B31:E31"/>
    <mergeCell ref="B32:E32"/>
    <mergeCell ref="B34:E34"/>
    <mergeCell ref="B35:E35"/>
    <mergeCell ref="B37:E37"/>
    <mergeCell ref="B28:E28"/>
    <mergeCell ref="B13:E13"/>
    <mergeCell ref="B14:E14"/>
    <mergeCell ref="B15:E15"/>
    <mergeCell ref="B17:E17"/>
    <mergeCell ref="B18:E18"/>
    <mergeCell ref="B19:E19"/>
    <mergeCell ref="B20:E20"/>
    <mergeCell ref="B22:E22"/>
    <mergeCell ref="B23:E23"/>
    <mergeCell ref="B25:E25"/>
    <mergeCell ref="B26:E26"/>
    <mergeCell ref="B12:E12"/>
    <mergeCell ref="G2:Z2"/>
    <mergeCell ref="O3:P3"/>
    <mergeCell ref="Q3:T3"/>
    <mergeCell ref="O4:P4"/>
    <mergeCell ref="Q4:T4"/>
    <mergeCell ref="O5:P5"/>
    <mergeCell ref="Q5:T5"/>
    <mergeCell ref="A6:Z6"/>
    <mergeCell ref="B7:E7"/>
    <mergeCell ref="A8:Z8"/>
    <mergeCell ref="B9:E9"/>
    <mergeCell ref="B10:E10"/>
  </mergeCells>
  <phoneticPr fontId="3" type="noConversion"/>
  <pageMargins left="0.5" right="0.5" top="0.5" bottom="0.5" header="0.25" footer="0.25"/>
  <pageSetup orientation="portrait" horizontalDpi="4294967292" verticalDpi="4294967292"/>
  <headerFooter>
    <oddHeader xml:space="preserve">&amp;C&amp;"Libian SC Regular,Regular"&amp;6&amp;K000000★★★&amp;"-,Regular" ATTACH FACT SHEET HERE &amp;"Libian SC Regular,Regular"★★★&amp;"-,Regular" ATTACH FACT SHEET HERE &amp;"Libian SC Regular,Regular"★★★&amp;"-,Regular" ATTACH FACT SHEET HERE </oddHeader>
    <oddFooter>&amp;R&amp;"Gill Sans Light,Regular"&amp;7&amp;K000000Printed: &amp;D, &amp;T - Page &amp;P of &amp;N</oddFooter>
  </headerFooter>
  <drawing r:id="rId1"/>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theme="8"/>
  </sheetPr>
  <dimension ref="A1:AI180"/>
  <sheetViews>
    <sheetView view="pageLayout" zoomScale="125" workbookViewId="0">
      <selection activeCell="D17" sqref="D17:N17"/>
    </sheetView>
  </sheetViews>
  <sheetFormatPr baseColWidth="10" defaultRowHeight="15" x14ac:dyDescent="0"/>
  <cols>
    <col min="1" max="1" width="0.6640625" style="60" customWidth="1"/>
    <col min="2" max="3" width="4.5" style="60" customWidth="1"/>
    <col min="4" max="4" width="4" style="60" customWidth="1"/>
    <col min="5" max="5" width="4.1640625" style="60" customWidth="1"/>
    <col min="6" max="6" width="1.33203125" style="60" customWidth="1"/>
    <col min="7" max="7" width="4" style="60" customWidth="1"/>
    <col min="8" max="8" width="4.1640625" style="60" customWidth="1"/>
    <col min="9" max="9" width="1.33203125" style="60" customWidth="1"/>
    <col min="10" max="10" width="4" style="60" customWidth="1"/>
    <col min="11" max="11" width="4.1640625" style="60" customWidth="1"/>
    <col min="12" max="12" width="1.33203125" style="60" customWidth="1"/>
    <col min="13" max="13" width="4" style="60" customWidth="1"/>
    <col min="14" max="14" width="4.1640625" style="60" customWidth="1"/>
    <col min="15" max="16" width="4.5" style="60" customWidth="1"/>
    <col min="17" max="26" width="4" style="60" customWidth="1"/>
    <col min="27" max="27" width="0" style="60" hidden="1" customWidth="1"/>
    <col min="28" max="16384" width="10.83203125" style="60"/>
  </cols>
  <sheetData>
    <row r="1" spans="1:35" ht="2" customHeight="1" thickBot="1">
      <c r="A1" s="61"/>
      <c r="B1" s="61"/>
      <c r="C1" s="61"/>
      <c r="D1" s="61"/>
      <c r="E1" s="61"/>
      <c r="F1" s="61"/>
      <c r="G1" s="61"/>
      <c r="H1" s="61"/>
      <c r="I1" s="61"/>
      <c r="J1" s="61"/>
      <c r="K1" s="61"/>
      <c r="L1" s="61"/>
      <c r="M1" s="61"/>
      <c r="N1" s="61"/>
      <c r="O1" s="61"/>
      <c r="P1" s="61"/>
      <c r="Q1" s="61"/>
      <c r="R1" s="61"/>
      <c r="S1" s="61"/>
      <c r="T1" s="61"/>
      <c r="U1" s="61"/>
      <c r="V1" s="61"/>
      <c r="W1" s="61"/>
      <c r="X1" s="61"/>
      <c r="Y1" s="61"/>
      <c r="Z1" s="61"/>
    </row>
    <row r="2" spans="1:35">
      <c r="A2" s="61"/>
      <c r="B2" s="61"/>
      <c r="C2" s="61"/>
      <c r="D2" s="61"/>
      <c r="E2" s="61"/>
      <c r="F2" s="280" t="s">
        <v>0</v>
      </c>
      <c r="G2" s="280"/>
      <c r="H2" s="281"/>
      <c r="I2" s="281"/>
      <c r="J2" s="281"/>
      <c r="K2" s="61"/>
      <c r="L2" s="61"/>
      <c r="M2" s="61"/>
      <c r="N2" s="61"/>
      <c r="O2" s="624" t="s">
        <v>141</v>
      </c>
      <c r="P2" s="625"/>
      <c r="Q2" s="636" t="str">
        <f>IF((COUNT(AGREEMENT!B22,AGREEMENT!B25:AA25))&gt;1,"S-"&amp;IF(AGREEMENT!$B22&gt;0,(CONCATENATE(TEXT('FACT 1'!$B$102,"yymmdd"),'FACT 1'!$F$102,'FACT 1'!$AC$102,AGREEMENT!Z126))," "),IF(AGREEMENT!$B22&gt;0,(CONCATENATE(TEXT('FACT 1'!$B$102,"yymmdd"),'FACT 1'!$F$102,'FACT 1'!$AC$102,AGREEMENT!Z126)),""))</f>
        <v>160621LRTCC</v>
      </c>
      <c r="R2" s="636"/>
      <c r="S2" s="636"/>
      <c r="T2" s="637" t="str">
        <f>IF((COUNT(AGREEMENT!B22,AGREEMENT!B25:AA25))&gt;1,"Date Range:","Date:")</f>
        <v>Date:</v>
      </c>
      <c r="U2" s="637"/>
      <c r="V2" s="616" t="str">
        <f>IF(AGREEMENT!B22&gt;0,
IF(AGREEMENT!Z25&gt;0,
(CONCATENATE(TEXT(AGREEMENT!B22,"m/d/yyyy"))&amp;" - "&amp;(TEXT(AGREEMENT!Z25,"m/d/yyyy"))),
IF(AGREEMENT!X25&gt;0,
(CONCATENATE(TEXT(AGREEMENT!B22,"m/d/yyyy"))&amp;" - "&amp;(TEXT(AGREEMENT!X25,"m/d/yyyy"))),
IF(AGREEMENT!V25&gt;0,
(CONCATENATE(TEXT(AGREEMENT!B22,"m/d/yyyy"))&amp;" - "&amp;(TEXT(AGREEMENT!V25,"m/d/yyyy"))),
IF(AGREEMENT!T25&gt;0,
(CONCATENATE(TEXT(AGREEMENT!B22,"m/d/yyyy"))&amp;" - "&amp;(TEXT(AGREEMENT!T25,"m/d/yyyy"))),
IF(AGREEMENT!R25&gt;0,
(CONCATENATE(TEXT(AGREEMENT!B22,"m/d/yyyy"))&amp;" - "&amp;(TEXT(AGREEMENT!R25,"m/d/yyyy"))),
IF(AGREEMENT!P25&gt;0,
(CONCATENATE(TEXT(AGREEMENT!B22,"m/d/yyyy"))&amp;" - "&amp;(TEXT(AGREEMENT!P25,"m/d/yyyy"))),
IF(AGREEMENT!N25&gt;0,
(CONCATENATE(TEXT(AGREEMENT!B22,"m/d/yyyy"))&amp;" - "&amp;(TEXT(AGREEMENT!N25,"m/d/yyyy"))),
IF(AGREEMENT!L25&gt;0,
(CONCATENATE(TEXT(AGREEMENT!B22,"m/d/yyyy"))&amp;" - "&amp;(TEXT(AGREEMENT!L25,"m/d/yyyy"))),
IF(AGREEMENT!J25&gt;0,
(CONCATENATE(TEXT(AGREEMENT!B22,"m/d/yyyy"))&amp;" - "&amp;(TEXT(AGREEMENT!J25,"m/d/yyyy"))),
IF(AGREEMENT!H25&gt;0,
(CONCATENATE(TEXT(AGREEMENT!B22,"m/d/yyyy"))&amp;" - "&amp;(TEXT(AGREEMENT!H25,"m/d/yyyy"))),
IF(AGREEMENT!F25&gt;0,
(CONCATENATE(TEXT(AGREEMENT!B22,"m/d/yyyy"))&amp;" - "&amp;(TEXT(AGREEMENT!F25,"m/d/yyyy"))),
IF(AGREEMENT!D25&gt;0,
(CONCATENATE(TEXT(AGREEMENT!B22,"m/d/yyyy"))&amp;" - "&amp;(TEXT(AGREEMENT!D25,"m/d/yyyy"))),
IF(AGREEMENT!B25&gt;0,
(CONCATENATE(TEXT(AGREEMENT!B22,"m/d/yyyy"))&amp;" - "&amp;(TEXT(AGREEMENT!B25,"m/d/yyyy"))),
(TEXT(AGREEMENT!B22,"m/d/yyyy"))))))))))))))))</f>
        <v>6/21/2016</v>
      </c>
      <c r="W2" s="616"/>
      <c r="X2" s="616"/>
      <c r="Y2" s="616"/>
      <c r="Z2" s="617"/>
    </row>
    <row r="3" spans="1:35">
      <c r="A3" s="61"/>
      <c r="B3" s="282"/>
      <c r="C3" s="282"/>
      <c r="D3" s="282"/>
      <c r="E3" s="61"/>
      <c r="F3" s="280" t="s">
        <v>8</v>
      </c>
      <c r="G3" s="280"/>
      <c r="H3" s="281"/>
      <c r="I3" s="281"/>
      <c r="J3" s="281"/>
      <c r="K3" s="61"/>
      <c r="L3" s="61"/>
      <c r="M3" s="61"/>
      <c r="N3" s="61"/>
      <c r="O3" s="628" t="s">
        <v>60</v>
      </c>
      <c r="P3" s="629"/>
      <c r="Q3" s="618" t="str">
        <f>IF(AGREEMENT!Y126=5,"ucla purchase order",IF(AGREEMENT!Y126=4,"house account",IF(AGREEMENT!Y126=3,"cc authorization",IF(AGREEMENT!Y126=2,"credit card",IF(AGREEMENT!Y126=1,"approved check","")))))</f>
        <v>credit card</v>
      </c>
      <c r="R3" s="618"/>
      <c r="S3" s="618"/>
      <c r="T3" s="627" t="s">
        <v>350</v>
      </c>
      <c r="U3" s="627"/>
      <c r="V3" s="618" t="str">
        <f>IF('FACT 1'!F19&gt;0,(TEXT('FACT 1'!F19,"h:mm am/pm"))&amp;" to "&amp;(TEXT('FACT 1'!J19,"h:mm am/pm")),"")</f>
        <v>12:30 PM to 3:30 PM</v>
      </c>
      <c r="W3" s="618"/>
      <c r="X3" s="618"/>
      <c r="Y3" s="618"/>
      <c r="Z3" s="283"/>
    </row>
    <row r="4" spans="1:35">
      <c r="A4" s="61"/>
      <c r="B4" s="282"/>
      <c r="C4" s="282"/>
      <c r="D4" s="282"/>
      <c r="E4" s="61"/>
      <c r="F4" s="280" t="s">
        <v>7</v>
      </c>
      <c r="G4" s="280"/>
      <c r="H4" s="281"/>
      <c r="I4" s="281"/>
      <c r="J4" s="281"/>
      <c r="K4" s="61"/>
      <c r="L4" s="61"/>
      <c r="M4" s="61"/>
      <c r="N4" s="61"/>
      <c r="O4" s="630" t="s">
        <v>59</v>
      </c>
      <c r="P4" s="631"/>
      <c r="Q4" s="618" t="str">
        <f>IF(AGREEMENT!J29&gt;0,"$"&amp;
AGREEMENT!J29,"")</f>
        <v>$150</v>
      </c>
      <c r="R4" s="618"/>
      <c r="S4" s="618"/>
      <c r="T4" s="618"/>
      <c r="U4" s="284" t="s">
        <v>129</v>
      </c>
      <c r="V4" s="618" t="str">
        <f>IF('FACT 1'!AB102=1,'FACT 1'!T92,IF('FACT 1'!AB102=2,'FACT 1'!T93,IF('FACT 1'!AB102=3,'FACT 1'!T94,IF('FACT 1'!AB102=4,'FACT 1'!T95,IF('FACT 1'!AB102=5,'FACT 1'!T96,IF('FACT 1'!AB102=6,'FACT 1'!T97,IF('FACT 1'!AB102=7,'FACT 1'!T98,IF('FACT 1'!AB102=8,'FACT 1'!T99,IF('FACT 1'!AB102=9,'FACT 1'!T100,"")))))))))</f>
        <v>rotunda</v>
      </c>
      <c r="W4" s="618"/>
      <c r="X4" s="618"/>
      <c r="Y4" s="618"/>
      <c r="Z4" s="619"/>
    </row>
    <row r="5" spans="1:35" ht="16" thickBot="1">
      <c r="A5" s="61"/>
      <c r="B5" s="282"/>
      <c r="C5" s="282"/>
      <c r="D5" s="282"/>
      <c r="E5" s="61"/>
      <c r="F5" s="285" t="s">
        <v>4</v>
      </c>
      <c r="G5" s="286"/>
      <c r="H5" s="287"/>
      <c r="I5" s="281"/>
      <c r="J5" s="281"/>
      <c r="K5" s="61"/>
      <c r="L5" s="61"/>
      <c r="M5" s="61"/>
      <c r="N5" s="61"/>
      <c r="O5" s="638" t="s">
        <v>109</v>
      </c>
      <c r="P5" s="639"/>
      <c r="Q5" s="626" t="str">
        <f>IF('FACT 1'!K43&gt;0,"$"&amp;'FACT 1'!K43&amp;" +tax/service","")</f>
        <v>$800 +tax/service</v>
      </c>
      <c r="R5" s="626"/>
      <c r="S5" s="626"/>
      <c r="T5" s="626"/>
      <c r="U5" s="288" t="s">
        <v>144</v>
      </c>
      <c r="V5" s="620" t="str">
        <f>IF('FACT 1'!$V$22&gt;0,
IF('FACT 1'!$R$22&lt;0,"f: "&amp;'FACT 1'!$V$22&amp;" | b: none","f: "&amp;'FACT 1'!$V$22&amp;" | "&amp;"b: "&amp;'FACT 1'!$R$22), IF('FACT 1'!$R$22&lt;0,"f: none | b: none",
"f: none | "&amp;"b: "&amp;'FACT 1'!$R$22))</f>
        <v>f: plated | b: none</v>
      </c>
      <c r="W5" s="620"/>
      <c r="X5" s="620"/>
      <c r="Y5" s="620"/>
      <c r="Z5" s="621"/>
    </row>
    <row r="6" spans="1:35" ht="5" customHeight="1" thickBot="1">
      <c r="A6" s="693"/>
      <c r="B6" s="695"/>
      <c r="C6" s="695"/>
      <c r="D6" s="695"/>
      <c r="E6" s="695"/>
      <c r="F6" s="695"/>
      <c r="G6" s="695"/>
      <c r="H6" s="695"/>
      <c r="I6" s="695"/>
      <c r="J6" s="695"/>
      <c r="K6" s="695"/>
      <c r="L6" s="695"/>
      <c r="M6" s="695"/>
      <c r="N6" s="695"/>
      <c r="O6" s="695"/>
      <c r="P6" s="695"/>
      <c r="Q6" s="695"/>
      <c r="R6" s="695"/>
      <c r="S6" s="695"/>
      <c r="T6" s="695"/>
      <c r="U6" s="695"/>
      <c r="V6" s="695"/>
      <c r="W6" s="695"/>
      <c r="X6" s="695"/>
      <c r="Y6" s="695"/>
      <c r="Z6" s="695"/>
    </row>
    <row r="7" spans="1:35" s="290" customFormat="1" ht="21" customHeight="1" thickBot="1">
      <c r="A7" s="289" t="s">
        <v>56</v>
      </c>
      <c r="B7" s="592" t="s">
        <v>108</v>
      </c>
      <c r="C7" s="593"/>
      <c r="D7" s="593"/>
      <c r="E7" s="593"/>
      <c r="F7" s="613" t="str">
        <f>IF(AGREEMENT!$D$13&gt;0,
(IF(AGREEMENT!$Q$13&gt;0,
("  "&amp;AGREEMENT!$D$13&amp;" ("&amp;AGREEMENT!$Q$13&amp;")"),
"  "&amp;AGREEMENT!$D$13&amp;""))," "&amp;AGREEMENT!$Q$13)</f>
        <v xml:space="preserve"> </v>
      </c>
      <c r="G7" s="613"/>
      <c r="H7" s="613"/>
      <c r="I7" s="613"/>
      <c r="J7" s="613"/>
      <c r="K7" s="613"/>
      <c r="L7" s="613"/>
      <c r="M7" s="613"/>
      <c r="N7" s="613"/>
      <c r="O7" s="613"/>
      <c r="P7" s="613"/>
      <c r="Q7" s="613"/>
      <c r="R7" s="613"/>
      <c r="S7" s="614" t="str">
        <f>IF(AGREEMENT!B22&gt;0,
IF(AGREEMENT!Z25&gt;0,
(CONCATENATE(TEXT(AGREEMENT!B22,"mmmm d, yyyy"))&amp;" - "&amp;(TEXT(AGREEMENT!Z25,"mmmm d, yyyy"))),
IF(AGREEMENT!X25&gt;0,
(CONCATENATE(TEXT(AGREEMENT!B22,"mmmm d, yyyy"))&amp;" - "&amp;(TEXT(AGREEMENT!X25,"mmmm d, yyyy"))),
IF(AGREEMENT!V25&gt;0,
(CONCATENATE(TEXT(AGREEMENT!B22,"mmmm d, yyyy"))&amp;" - "&amp;(TEXT(AGREEMENT!V25,"mmmm d, yyyy"))),
IF(AGREEMENT!T25&gt;0,
(CONCATENATE(TEXT(AGREEMENT!B22,"mmmm d, yyyy"))&amp;" - "&amp;(TEXT(AGREEMENT!T25,"mmmm d, yyyy"))),
IF(AGREEMENT!R25&gt;0,
(CONCATENATE(TEXT(AGREEMENT!B22,"mmmm d, yyyy"))&amp;" - "&amp;(TEXT(AGREEMENT!R25,"mmmm d, yyyy"))),
IF(AGREEMENT!P25&gt;0,
(CONCATENATE(TEXT(AGREEMENT!B22,"mmmm d, yyyy"))&amp;" - "&amp;(TEXT(AGREEMENT!P25,"mmmm d, yyyy"))),
IF(AGREEMENT!N25&gt;0,
(CONCATENATE(TEXT(AGREEMENT!B22,"mmmm d, yyyy"))&amp;" - "&amp;(TEXT(AGREEMENT!N25,"mmmm d, yyyy"))),
IF(AGREEMENT!L25&gt;0,
(CONCATENATE(TEXT(AGREEMENT!B22,"mmmm d, yyyy"))&amp;" - "&amp;(TEXT(AGREEMENT!L25,"mmmm d, yyyy"))),
IF(AGREEMENT!J25&gt;0,
(CONCATENATE(TEXT(AGREEMENT!B22,"mmmm d, yyyy"))&amp;" - "&amp;(TEXT(AGREEMENT!J25,"mmmm d, yyyy"))),
IF(AGREEMENT!H25&gt;0,
(CONCATENATE(TEXT(AGREEMENT!B22,"mmmm d, yyyy"))&amp;" - "&amp;(TEXT(AGREEMENT!H25,"mmmm d, yyyy"))),
IF(AGREEMENT!F25&gt;0,
(CONCATENATE(TEXT(AGREEMENT!B22,"mmmm d, yyyy"))&amp;" - "&amp;(TEXT(AGREEMENT!F25,"mmmm d, yyyy"))),
IF(AGREEMENT!D25&gt;0,
(CONCATENATE(TEXT(AGREEMENT!B22,"mmmm d, yyyy"))&amp;" - "&amp;(TEXT(AGREEMENT!D25,"mmmm d, yyyy"))),
IF(AGREEMENT!B25&gt;0,
(CONCATENATE(TEXT(AGREEMENT!B22,"mmmm d, yyyy"))&amp;" - "&amp;(TEXT(AGREEMENT!B25,"mmmm d, yyyy"))),
(TEXT(AGREEMENT!B22,"mmmm d, yyyy"))))))))))))))))</f>
        <v>June 21, 2016</v>
      </c>
      <c r="T7" s="614"/>
      <c r="U7" s="614"/>
      <c r="V7" s="614"/>
      <c r="W7" s="614"/>
      <c r="X7" s="614"/>
      <c r="Y7" s="614"/>
      <c r="Z7" s="615"/>
    </row>
    <row r="8" spans="1:35" ht="5" customHeight="1">
      <c r="A8" s="643"/>
      <c r="B8" s="644"/>
      <c r="C8" s="644"/>
      <c r="D8" s="644"/>
      <c r="E8" s="644"/>
      <c r="F8" s="644"/>
      <c r="G8" s="644"/>
      <c r="H8" s="644"/>
      <c r="I8" s="644"/>
      <c r="J8" s="644"/>
      <c r="K8" s="644"/>
      <c r="L8" s="644"/>
      <c r="M8" s="644"/>
      <c r="N8" s="644"/>
      <c r="O8" s="644"/>
      <c r="P8" s="644"/>
      <c r="Q8" s="644"/>
      <c r="R8" s="644"/>
      <c r="S8" s="644"/>
      <c r="T8" s="644"/>
      <c r="U8" s="644"/>
      <c r="V8" s="644"/>
      <c r="W8" s="644"/>
      <c r="X8" s="644"/>
      <c r="Y8" s="644"/>
      <c r="Z8" s="644"/>
    </row>
    <row r="9" spans="1:35" s="293" customFormat="1" ht="24" customHeight="1" thickBot="1">
      <c r="A9" s="291"/>
      <c r="B9" s="598" t="s">
        <v>367</v>
      </c>
      <c r="C9" s="598"/>
      <c r="D9" s="598"/>
      <c r="E9" s="598"/>
      <c r="F9" s="598"/>
      <c r="G9" s="598"/>
      <c r="H9" s="598"/>
      <c r="I9" s="598"/>
      <c r="J9" s="598"/>
      <c r="K9" s="598"/>
      <c r="L9" s="598"/>
      <c r="M9" s="598"/>
      <c r="N9" s="598"/>
      <c r="O9" s="598"/>
      <c r="P9" s="598"/>
      <c r="Q9" s="598"/>
      <c r="R9" s="598"/>
      <c r="S9" s="598"/>
      <c r="T9" s="598"/>
      <c r="U9" s="598"/>
      <c r="V9" s="598"/>
      <c r="W9" s="598"/>
      <c r="X9" s="598"/>
      <c r="Y9" s="598"/>
      <c r="Z9" s="598"/>
      <c r="AA9" s="60"/>
      <c r="AB9" s="60"/>
      <c r="AC9" s="60"/>
      <c r="AD9" s="60"/>
      <c r="AE9" s="60"/>
      <c r="AF9" s="60"/>
      <c r="AG9" s="60"/>
      <c r="AH9" s="60"/>
      <c r="AI9" s="292"/>
    </row>
    <row r="10" spans="1:35" s="61" customFormat="1" ht="20" customHeight="1" thickTop="1">
      <c r="A10" s="596"/>
      <c r="B10" s="599" t="s">
        <v>82</v>
      </c>
      <c r="C10" s="600"/>
      <c r="D10" s="605" t="str">
        <f>IF(AGREEMENT!Q13&gt;0,AGREEMENT!Q13,"")</f>
        <v/>
      </c>
      <c r="E10" s="606"/>
      <c r="F10" s="606"/>
      <c r="G10" s="606"/>
      <c r="H10" s="606"/>
      <c r="I10" s="606"/>
      <c r="J10" s="606"/>
      <c r="K10" s="606"/>
      <c r="L10" s="606"/>
      <c r="M10" s="606"/>
      <c r="N10" s="606"/>
      <c r="O10" s="635" t="s">
        <v>85</v>
      </c>
      <c r="P10" s="635"/>
      <c r="Q10" s="640" t="str">
        <f>IF(AGREEMENT!D14&gt;0,AGREEMENT!D14,"")</f>
        <v/>
      </c>
      <c r="R10" s="641"/>
      <c r="S10" s="641"/>
      <c r="T10" s="641"/>
      <c r="U10" s="641"/>
      <c r="V10" s="641"/>
      <c r="W10" s="641"/>
      <c r="X10" s="641"/>
      <c r="Y10" s="641"/>
      <c r="Z10" s="642"/>
      <c r="AA10" s="60"/>
      <c r="AB10" s="60"/>
      <c r="AC10" s="60"/>
      <c r="AD10" s="60"/>
      <c r="AE10" s="60"/>
      <c r="AF10" s="60"/>
      <c r="AG10" s="60"/>
      <c r="AH10" s="60"/>
      <c r="AI10" s="294"/>
    </row>
    <row r="11" spans="1:35" s="61" customFormat="1" ht="20" customHeight="1">
      <c r="A11" s="597"/>
      <c r="B11" s="601" t="s">
        <v>86</v>
      </c>
      <c r="C11" s="602"/>
      <c r="D11" s="607" t="str">
        <f>IF(AGREEMENT!Q14&gt;0,AGREEMENT!Q14,"")</f>
        <v/>
      </c>
      <c r="E11" s="608"/>
      <c r="F11" s="608"/>
      <c r="G11" s="608"/>
      <c r="H11" s="608"/>
      <c r="I11" s="608"/>
      <c r="J11" s="608"/>
      <c r="K11" s="608"/>
      <c r="L11" s="608"/>
      <c r="M11" s="608"/>
      <c r="N11" s="608"/>
      <c r="O11" s="623" t="s">
        <v>1</v>
      </c>
      <c r="P11" s="623"/>
      <c r="Q11" s="632" t="str">
        <f>IF(AGREEMENT!D15&gt;0,AGREEMENT!D15,"")</f>
        <v/>
      </c>
      <c r="R11" s="633"/>
      <c r="S11" s="633"/>
      <c r="T11" s="633"/>
      <c r="U11" s="633"/>
      <c r="V11" s="633"/>
      <c r="W11" s="633"/>
      <c r="X11" s="633"/>
      <c r="Y11" s="633"/>
      <c r="Z11" s="634"/>
      <c r="AA11" s="60"/>
      <c r="AB11" s="60"/>
      <c r="AC11" s="60"/>
      <c r="AD11" s="60"/>
      <c r="AE11" s="60"/>
      <c r="AF11" s="60"/>
      <c r="AG11" s="60"/>
      <c r="AH11" s="60"/>
      <c r="AI11" s="294"/>
    </row>
    <row r="12" spans="1:35" s="61" customFormat="1" ht="20" customHeight="1">
      <c r="A12" s="597"/>
      <c r="B12" s="601" t="s">
        <v>84</v>
      </c>
      <c r="C12" s="602"/>
      <c r="D12" s="607" t="str">
        <f>IF(AGREEMENT!Q15&gt;0,AGREEMENT!Q15,"")</f>
        <v/>
      </c>
      <c r="E12" s="608"/>
      <c r="F12" s="608"/>
      <c r="G12" s="608"/>
      <c r="H12" s="608"/>
      <c r="I12" s="608"/>
      <c r="J12" s="608"/>
      <c r="K12" s="608"/>
      <c r="L12" s="608"/>
      <c r="M12" s="608"/>
      <c r="N12" s="608"/>
      <c r="O12" s="622" t="s">
        <v>1</v>
      </c>
      <c r="P12" s="622"/>
      <c r="Q12" s="632" t="str">
        <f>IF(AGREEMENT!D16&gt;0,AGREEMENT!D16,"")</f>
        <v/>
      </c>
      <c r="R12" s="633"/>
      <c r="S12" s="633"/>
      <c r="T12" s="633"/>
      <c r="U12" s="633"/>
      <c r="V12" s="633"/>
      <c r="W12" s="633"/>
      <c r="X12" s="633"/>
      <c r="Y12" s="633"/>
      <c r="Z12" s="634"/>
      <c r="AA12" s="60"/>
      <c r="AB12" s="60"/>
      <c r="AC12" s="60"/>
      <c r="AD12" s="60"/>
      <c r="AE12" s="60"/>
      <c r="AF12" s="60"/>
      <c r="AG12" s="60"/>
      <c r="AH12" s="60"/>
      <c r="AI12" s="294"/>
    </row>
    <row r="13" spans="1:35" s="61" customFormat="1" ht="20" customHeight="1">
      <c r="A13" s="597"/>
      <c r="B13" s="601" t="s">
        <v>90</v>
      </c>
      <c r="C13" s="602"/>
      <c r="D13" s="607" t="str">
        <f>IF(AGREEMENT!Q16&gt;0,AGREEMENT!Q16,"")</f>
        <v/>
      </c>
      <c r="E13" s="608"/>
      <c r="F13" s="608"/>
      <c r="G13" s="608"/>
      <c r="H13" s="608"/>
      <c r="I13" s="608"/>
      <c r="J13" s="608"/>
      <c r="K13" s="608"/>
      <c r="L13" s="608"/>
      <c r="M13" s="608"/>
      <c r="N13" s="608"/>
      <c r="O13" s="622" t="s">
        <v>37</v>
      </c>
      <c r="P13" s="622"/>
      <c r="Q13" s="632" t="str">
        <f>IF(AGREEMENT!D17&gt;0,AGREEMENT!D17,"")</f>
        <v/>
      </c>
      <c r="R13" s="633"/>
      <c r="S13" s="633"/>
      <c r="T13" s="633"/>
      <c r="U13" s="633"/>
      <c r="V13" s="633"/>
      <c r="W13" s="633"/>
      <c r="X13" s="633"/>
      <c r="Y13" s="633"/>
      <c r="Z13" s="634"/>
      <c r="AA13" s="60"/>
      <c r="AB13" s="60"/>
      <c r="AC13" s="60"/>
      <c r="AD13" s="60"/>
      <c r="AE13" s="60"/>
      <c r="AF13" s="60"/>
      <c r="AG13" s="60"/>
      <c r="AH13" s="60"/>
      <c r="AI13" s="294"/>
    </row>
    <row r="14" spans="1:35" s="61" customFormat="1" ht="20" customHeight="1" thickBot="1">
      <c r="A14" s="597"/>
      <c r="B14" s="603" t="s">
        <v>91</v>
      </c>
      <c r="C14" s="604"/>
      <c r="D14" s="594" t="str">
        <f>IF(AGREEMENT!Q18&gt;0,AGREEMENT!Q18,"")</f>
        <v/>
      </c>
      <c r="E14" s="595"/>
      <c r="F14" s="595"/>
      <c r="G14" s="595"/>
      <c r="H14" s="595"/>
      <c r="I14" s="595"/>
      <c r="J14" s="595"/>
      <c r="K14" s="595"/>
      <c r="L14" s="595"/>
      <c r="M14" s="595"/>
      <c r="N14" s="595"/>
      <c r="O14" s="609" t="s">
        <v>61</v>
      </c>
      <c r="P14" s="609"/>
      <c r="Q14" s="610" t="str">
        <f>IF(AGREEMENT!D18&gt;0,AGREEMENT!D18,"")</f>
        <v/>
      </c>
      <c r="R14" s="611"/>
      <c r="S14" s="611"/>
      <c r="T14" s="611"/>
      <c r="U14" s="611"/>
      <c r="V14" s="611"/>
      <c r="W14" s="611"/>
      <c r="X14" s="611"/>
      <c r="Y14" s="611"/>
      <c r="Z14" s="612"/>
      <c r="AA14" s="60"/>
      <c r="AB14" s="60"/>
      <c r="AC14" s="60"/>
      <c r="AD14" s="60"/>
      <c r="AE14" s="60"/>
      <c r="AF14" s="60"/>
      <c r="AG14" s="60"/>
      <c r="AH14" s="60"/>
      <c r="AI14" s="294"/>
    </row>
    <row r="15" spans="1:35" ht="5" customHeight="1" thickTop="1">
      <c r="A15" s="692"/>
      <c r="B15" s="692"/>
      <c r="C15" s="692"/>
      <c r="D15" s="692"/>
      <c r="E15" s="692"/>
      <c r="F15" s="692"/>
      <c r="G15" s="692"/>
      <c r="H15" s="692"/>
      <c r="I15" s="692"/>
      <c r="J15" s="692"/>
      <c r="K15" s="692"/>
      <c r="L15" s="692"/>
      <c r="M15" s="692"/>
      <c r="N15" s="692"/>
      <c r="O15" s="692"/>
      <c r="P15" s="692"/>
      <c r="Q15" s="692"/>
      <c r="R15" s="692"/>
      <c r="S15" s="692"/>
      <c r="T15" s="692"/>
      <c r="U15" s="692"/>
      <c r="V15" s="692"/>
      <c r="W15" s="692"/>
      <c r="X15" s="692"/>
      <c r="Y15" s="692"/>
      <c r="Z15" s="692"/>
    </row>
    <row r="16" spans="1:35" s="293" customFormat="1" ht="24" customHeight="1" thickBot="1">
      <c r="A16" s="291"/>
      <c r="B16" s="598" t="s">
        <v>368</v>
      </c>
      <c r="C16" s="598"/>
      <c r="D16" s="598"/>
      <c r="E16" s="598"/>
      <c r="F16" s="598"/>
      <c r="G16" s="598"/>
      <c r="H16" s="598"/>
      <c r="I16" s="598"/>
      <c r="J16" s="598"/>
      <c r="K16" s="598"/>
      <c r="L16" s="598"/>
      <c r="M16" s="598"/>
      <c r="N16" s="598"/>
      <c r="O16" s="598"/>
      <c r="P16" s="598"/>
      <c r="Q16" s="598"/>
      <c r="R16" s="598"/>
      <c r="S16" s="598"/>
      <c r="T16" s="598"/>
      <c r="U16" s="598"/>
      <c r="V16" s="598"/>
      <c r="W16" s="598"/>
      <c r="X16" s="598"/>
      <c r="Y16" s="598"/>
      <c r="Z16" s="598"/>
      <c r="AA16" s="60"/>
      <c r="AB16" s="60"/>
      <c r="AC16" s="60"/>
      <c r="AD16" s="60"/>
      <c r="AE16" s="60"/>
      <c r="AF16" s="60"/>
      <c r="AG16" s="60"/>
      <c r="AH16" s="60"/>
      <c r="AI16" s="292"/>
    </row>
    <row r="17" spans="1:35" s="61" customFormat="1" ht="20" customHeight="1" thickTop="1">
      <c r="A17" s="596"/>
      <c r="B17" s="648" t="s">
        <v>155</v>
      </c>
      <c r="C17" s="649"/>
      <c r="D17" s="650"/>
      <c r="E17" s="651"/>
      <c r="F17" s="651"/>
      <c r="G17" s="651"/>
      <c r="H17" s="651"/>
      <c r="I17" s="651"/>
      <c r="J17" s="651"/>
      <c r="K17" s="651"/>
      <c r="L17" s="651"/>
      <c r="M17" s="651"/>
      <c r="N17" s="652"/>
      <c r="O17" s="653" t="s">
        <v>85</v>
      </c>
      <c r="P17" s="653"/>
      <c r="Q17" s="664"/>
      <c r="R17" s="664"/>
      <c r="S17" s="664"/>
      <c r="T17" s="664"/>
      <c r="U17" s="664"/>
      <c r="V17" s="664"/>
      <c r="W17" s="664"/>
      <c r="X17" s="664"/>
      <c r="Y17" s="664"/>
      <c r="Z17" s="664"/>
      <c r="AA17" s="60"/>
      <c r="AB17" s="60"/>
      <c r="AC17" s="60"/>
      <c r="AD17" s="60"/>
      <c r="AE17" s="60"/>
      <c r="AF17" s="60"/>
      <c r="AG17" s="60"/>
      <c r="AH17" s="60"/>
      <c r="AI17" s="294"/>
    </row>
    <row r="18" spans="1:35" s="61" customFormat="1" ht="20" customHeight="1">
      <c r="A18" s="597"/>
      <c r="B18" s="696" t="s">
        <v>83</v>
      </c>
      <c r="C18" s="697"/>
      <c r="D18" s="645"/>
      <c r="E18" s="646"/>
      <c r="F18" s="646"/>
      <c r="G18" s="646"/>
      <c r="H18" s="646"/>
      <c r="I18" s="646"/>
      <c r="J18" s="646"/>
      <c r="K18" s="646"/>
      <c r="L18" s="646"/>
      <c r="M18" s="646"/>
      <c r="N18" s="647"/>
      <c r="O18" s="698" t="s">
        <v>1</v>
      </c>
      <c r="P18" s="698"/>
      <c r="Q18" s="710"/>
      <c r="R18" s="710"/>
      <c r="S18" s="710"/>
      <c r="T18" s="710"/>
      <c r="U18" s="710"/>
      <c r="V18" s="710"/>
      <c r="W18" s="710"/>
      <c r="X18" s="710"/>
      <c r="Y18" s="710"/>
      <c r="Z18" s="710"/>
      <c r="AA18" s="60"/>
      <c r="AB18" s="60"/>
      <c r="AC18" s="60"/>
      <c r="AD18" s="60"/>
      <c r="AE18" s="60"/>
      <c r="AF18" s="60"/>
      <c r="AG18" s="60"/>
      <c r="AH18" s="60"/>
      <c r="AI18" s="294"/>
    </row>
    <row r="19" spans="1:35" s="61" customFormat="1" ht="20" customHeight="1">
      <c r="A19" s="597"/>
      <c r="B19" s="696" t="s">
        <v>86</v>
      </c>
      <c r="C19" s="697"/>
      <c r="D19" s="645"/>
      <c r="E19" s="646"/>
      <c r="F19" s="646"/>
      <c r="G19" s="646"/>
      <c r="H19" s="646"/>
      <c r="I19" s="646"/>
      <c r="J19" s="646"/>
      <c r="K19" s="646"/>
      <c r="L19" s="646"/>
      <c r="M19" s="646"/>
      <c r="N19" s="647"/>
      <c r="O19" s="698" t="s">
        <v>1</v>
      </c>
      <c r="P19" s="698"/>
      <c r="Q19" s="710"/>
      <c r="R19" s="710"/>
      <c r="S19" s="710"/>
      <c r="T19" s="710"/>
      <c r="U19" s="710"/>
      <c r="V19" s="710"/>
      <c r="W19" s="710"/>
      <c r="X19" s="710"/>
      <c r="Y19" s="710"/>
      <c r="Z19" s="710"/>
      <c r="AA19" s="60"/>
      <c r="AB19" s="60"/>
      <c r="AC19" s="60"/>
      <c r="AD19" s="60"/>
      <c r="AE19" s="60"/>
      <c r="AF19" s="60"/>
      <c r="AG19" s="60"/>
      <c r="AH19" s="60"/>
      <c r="AI19" s="294"/>
    </row>
    <row r="20" spans="1:35" s="61" customFormat="1" ht="20" customHeight="1" thickBot="1">
      <c r="A20" s="597"/>
      <c r="B20" s="711" t="s">
        <v>84</v>
      </c>
      <c r="C20" s="712"/>
      <c r="D20" s="713"/>
      <c r="E20" s="714"/>
      <c r="F20" s="714"/>
      <c r="G20" s="714"/>
      <c r="H20" s="714"/>
      <c r="I20" s="714"/>
      <c r="J20" s="714"/>
      <c r="K20" s="714"/>
      <c r="L20" s="714"/>
      <c r="M20" s="714"/>
      <c r="N20" s="715"/>
      <c r="O20" s="661" t="s">
        <v>37</v>
      </c>
      <c r="P20" s="661"/>
      <c r="Q20" s="662"/>
      <c r="R20" s="662"/>
      <c r="S20" s="662"/>
      <c r="T20" s="662"/>
      <c r="U20" s="662"/>
      <c r="V20" s="662"/>
      <c r="W20" s="662"/>
      <c r="X20" s="662"/>
      <c r="Y20" s="662"/>
      <c r="Z20" s="662"/>
      <c r="AA20" s="60"/>
      <c r="AB20" s="60"/>
      <c r="AC20" s="60"/>
      <c r="AD20" s="60"/>
      <c r="AE20" s="60"/>
      <c r="AF20" s="60"/>
      <c r="AG20" s="60"/>
      <c r="AH20" s="60"/>
      <c r="AI20" s="294"/>
    </row>
    <row r="21" spans="1:35" s="61" customFormat="1" ht="5" customHeight="1" thickTop="1">
      <c r="A21" s="597"/>
      <c r="B21" s="597"/>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60"/>
      <c r="AB21" s="60"/>
      <c r="AC21" s="60"/>
      <c r="AD21" s="60"/>
      <c r="AE21" s="60"/>
      <c r="AF21" s="60"/>
      <c r="AG21" s="60"/>
      <c r="AH21" s="60"/>
      <c r="AI21" s="294"/>
    </row>
    <row r="22" spans="1:35" s="293" customFormat="1" ht="24" customHeight="1" thickBot="1">
      <c r="A22" s="291"/>
      <c r="B22" s="703" t="s">
        <v>340</v>
      </c>
      <c r="C22" s="703"/>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60"/>
      <c r="AB22" s="60"/>
      <c r="AC22" s="60"/>
      <c r="AD22" s="60"/>
      <c r="AE22" s="60"/>
      <c r="AF22" s="60"/>
      <c r="AG22" s="60"/>
      <c r="AH22" s="60"/>
      <c r="AI22" s="292"/>
    </row>
    <row r="23" spans="1:35" s="61" customFormat="1" ht="24" customHeight="1" thickTop="1">
      <c r="A23" s="596"/>
      <c r="B23" s="699" t="s">
        <v>97</v>
      </c>
      <c r="C23" s="699"/>
      <c r="D23" s="700"/>
      <c r="E23" s="701"/>
      <c r="F23" s="701"/>
      <c r="G23" s="701"/>
      <c r="H23" s="701"/>
      <c r="I23" s="701"/>
      <c r="J23" s="701"/>
      <c r="K23" s="701"/>
      <c r="L23" s="701"/>
      <c r="M23" s="701"/>
      <c r="N23" s="701"/>
      <c r="O23" s="701"/>
      <c r="P23" s="701"/>
      <c r="Q23" s="701"/>
      <c r="R23" s="701"/>
      <c r="S23" s="701"/>
      <c r="T23" s="701"/>
      <c r="U23" s="701"/>
      <c r="V23" s="701"/>
      <c r="W23" s="701"/>
      <c r="X23" s="701"/>
      <c r="Y23" s="701"/>
      <c r="Z23" s="702"/>
      <c r="AA23" s="60"/>
      <c r="AB23" s="60"/>
      <c r="AC23" s="60"/>
      <c r="AD23" s="60"/>
      <c r="AE23" s="60"/>
      <c r="AF23" s="60"/>
      <c r="AG23" s="60"/>
      <c r="AH23" s="60"/>
      <c r="AI23" s="294"/>
    </row>
    <row r="24" spans="1:35" s="61" customFormat="1" ht="35" customHeight="1">
      <c r="A24" s="597"/>
      <c r="B24" s="654" t="s">
        <v>93</v>
      </c>
      <c r="C24" s="655"/>
      <c r="D24" s="706">
        <v>12</v>
      </c>
      <c r="E24" s="660"/>
      <c r="F24" s="295" t="s">
        <v>38</v>
      </c>
      <c r="G24" s="660">
        <v>121</v>
      </c>
      <c r="H24" s="660"/>
      <c r="I24" s="295" t="s">
        <v>38</v>
      </c>
      <c r="J24" s="704">
        <v>122</v>
      </c>
      <c r="K24" s="660"/>
      <c r="L24" s="295" t="s">
        <v>38</v>
      </c>
      <c r="M24" s="705">
        <v>122</v>
      </c>
      <c r="N24" s="705"/>
      <c r="O24" s="681" t="s">
        <v>94</v>
      </c>
      <c r="P24" s="681"/>
      <c r="Q24" s="663">
        <v>122</v>
      </c>
      <c r="R24" s="663"/>
      <c r="S24" s="663"/>
      <c r="T24" s="681" t="s">
        <v>95</v>
      </c>
      <c r="U24" s="681"/>
      <c r="V24" s="707">
        <v>122</v>
      </c>
      <c r="W24" s="707"/>
      <c r="X24" s="707"/>
      <c r="Y24" s="658"/>
      <c r="Z24" s="658"/>
      <c r="AA24" s="60"/>
      <c r="AB24" s="60"/>
      <c r="AC24" s="60"/>
      <c r="AD24" s="60"/>
      <c r="AE24" s="60"/>
      <c r="AF24" s="60"/>
      <c r="AG24" s="60"/>
      <c r="AH24" s="60"/>
      <c r="AI24" s="294"/>
    </row>
    <row r="25" spans="1:35" s="61" customFormat="1" ht="19" customHeight="1" thickBot="1">
      <c r="A25" s="597"/>
      <c r="B25" s="656"/>
      <c r="C25" s="657"/>
      <c r="D25" s="688" t="s">
        <v>88</v>
      </c>
      <c r="E25" s="659"/>
      <c r="F25" s="296"/>
      <c r="G25" s="659" t="s">
        <v>88</v>
      </c>
      <c r="H25" s="659"/>
      <c r="I25" s="296"/>
      <c r="J25" s="659" t="s">
        <v>88</v>
      </c>
      <c r="K25" s="659"/>
      <c r="L25" s="295"/>
      <c r="M25" s="659" t="s">
        <v>92</v>
      </c>
      <c r="N25" s="659"/>
      <c r="O25" s="681"/>
      <c r="P25" s="681"/>
      <c r="Q25" s="680" t="s">
        <v>92</v>
      </c>
      <c r="R25" s="680"/>
      <c r="S25" s="680"/>
      <c r="T25" s="681"/>
      <c r="U25" s="681"/>
      <c r="V25" s="708" t="s">
        <v>88</v>
      </c>
      <c r="W25" s="708"/>
      <c r="X25" s="708"/>
      <c r="Y25" s="658"/>
      <c r="Z25" s="658"/>
      <c r="AA25" s="60"/>
      <c r="AB25" s="60"/>
      <c r="AC25" s="60"/>
      <c r="AD25" s="60"/>
      <c r="AE25" s="60"/>
      <c r="AF25" s="60"/>
      <c r="AG25" s="60"/>
      <c r="AH25" s="60"/>
      <c r="AI25" s="294"/>
    </row>
    <row r="26" spans="1:35" s="61" customFormat="1" ht="24" customHeight="1" thickBot="1">
      <c r="A26" s="597"/>
      <c r="B26" s="709" t="s">
        <v>89</v>
      </c>
      <c r="C26" s="709"/>
      <c r="D26" s="682" t="s">
        <v>341</v>
      </c>
      <c r="E26" s="682"/>
      <c r="F26" s="682"/>
      <c r="G26" s="682"/>
      <c r="H26" s="682"/>
      <c r="I26" s="682"/>
      <c r="J26" s="682"/>
      <c r="K26" s="682"/>
      <c r="L26" s="682"/>
      <c r="M26" s="682"/>
      <c r="N26" s="682"/>
      <c r="O26" s="682"/>
      <c r="P26" s="682"/>
      <c r="Q26" s="682"/>
      <c r="R26" s="682"/>
      <c r="S26" s="682"/>
      <c r="T26" s="682"/>
      <c r="U26" s="682"/>
      <c r="V26" s="682"/>
      <c r="W26" s="682"/>
      <c r="X26" s="682"/>
      <c r="Y26" s="709" t="s">
        <v>89</v>
      </c>
      <c r="Z26" s="709"/>
      <c r="AA26" s="60"/>
      <c r="AC26" s="60"/>
      <c r="AD26" s="60"/>
      <c r="AE26" s="60"/>
      <c r="AF26" s="60"/>
      <c r="AG26" s="60"/>
      <c r="AH26" s="60"/>
      <c r="AI26" s="294"/>
    </row>
    <row r="27" spans="1:35" ht="5" customHeight="1" thickTop="1">
      <c r="A27" s="692"/>
      <c r="B27" s="692"/>
      <c r="C27" s="692"/>
      <c r="D27" s="692"/>
      <c r="E27" s="692"/>
      <c r="F27" s="692"/>
      <c r="G27" s="692"/>
      <c r="H27" s="692"/>
      <c r="I27" s="692"/>
      <c r="J27" s="692"/>
      <c r="K27" s="692"/>
      <c r="L27" s="692"/>
      <c r="M27" s="692"/>
      <c r="N27" s="692"/>
      <c r="O27" s="692"/>
      <c r="P27" s="692"/>
      <c r="Q27" s="692"/>
      <c r="R27" s="692"/>
      <c r="S27" s="692"/>
      <c r="T27" s="692"/>
      <c r="U27" s="692"/>
      <c r="V27" s="692"/>
      <c r="W27" s="692"/>
      <c r="X27" s="692"/>
      <c r="Y27" s="692"/>
      <c r="Z27" s="692"/>
    </row>
    <row r="28" spans="1:35" s="61" customFormat="1" ht="24" customHeight="1" thickBot="1">
      <c r="A28" s="297"/>
      <c r="B28" s="687" t="s">
        <v>87</v>
      </c>
      <c r="C28" s="687"/>
      <c r="D28" s="687"/>
      <c r="E28" s="687"/>
      <c r="F28" s="687"/>
      <c r="G28" s="687"/>
      <c r="H28" s="687"/>
      <c r="I28" s="687"/>
      <c r="J28" s="687"/>
      <c r="K28" s="687"/>
      <c r="L28" s="687"/>
      <c r="M28" s="687"/>
      <c r="N28" s="687"/>
      <c r="O28" s="687"/>
      <c r="P28" s="687"/>
      <c r="Q28" s="687"/>
      <c r="R28" s="687"/>
      <c r="S28" s="687"/>
      <c r="T28" s="687"/>
      <c r="U28" s="687"/>
      <c r="V28" s="687"/>
      <c r="W28" s="687"/>
      <c r="X28" s="687"/>
      <c r="Y28" s="687"/>
      <c r="Z28" s="687"/>
      <c r="AA28" s="60" t="str">
        <f>IF('FACT 1'!$AA$95&gt;1,B46,B36)</f>
        <v>I, _____________________________, authorize Skylight Gardens to charge my Credit Card (listed above) in the amount of $150 for my Event(s) Deposit at Skylight Gardens, reserved on: 6/21/2016 Once my Non-Refundable Event Deposit has been processed, this signed Credit Card Authorization and my signed Event Agreement will constitute my Event(s) Reservation Guarantee. In the event that payment is not made at the conclusion of my Event, I hereby authorize Skylight Gardens to charge the above credit card in an amount equal to: (1) the Food &amp; Beverage Minimum or the Event Menu price per person multipled by the actual number of event guests, whichever is greater, as outlined in my Event Agreement, (2) any additional or miscellaneous fees outlined in my Event Agreement, (3) any per consumption items or miscellaneous fees incurred at my Event, (4) a service fee equal to 22% of my entire Event bill, (5) 9% California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23 of my Event Agreement Standard Terms &amp; Conditions.</v>
      </c>
      <c r="AB28" s="60"/>
      <c r="AC28" s="60"/>
      <c r="AD28" s="60"/>
      <c r="AE28" s="60"/>
      <c r="AF28" s="60"/>
      <c r="AG28" s="60"/>
      <c r="AH28" s="60"/>
      <c r="AI28" s="60"/>
    </row>
    <row r="29" spans="1:35" s="298" customFormat="1" ht="160" customHeight="1" thickTop="1">
      <c r="A29" s="596"/>
      <c r="B29" s="683" t="str">
        <f>IF(D17&gt;0,CONCATENATE("I, ",D17,", authorize Skylight Gardens to charge my Credit Card (listed above) in the amount of $",AGREEMENT!J29," for my Event(s) Deposit at Skylight Gardens, reserved on or between: ",AGREEMENT!V2,". Once my Non-Refundable Event(s) Deposit has been processed, this signed Credit Card Authorization and my signed Event Agreement will constitute my Event Reservation Guarantee. In ", "the event that payment is not made at the conclusion of the Event(s), I hereby authorize Skylight Gardens to charge the above credit card in an ", "amount equal to: (1) the Food &amp; Beverage Minimum or the Event Menu price per person multipled by the actual number of event guests, ", "whichever is greater, as outlined in my Event Agreement, (2) any additional or miscellaneous fees outlined in my Event Agreement, (3) any per ", "consumption items or miscellaneous fees incurred at my Event, (4) a ",AGREEMENT!N28," equal to ",(100*AGREEMENT!N29),"% of my entire Event bill, (5) 9% California", " State Sales Tax (subject to change), (6) any additional Gratuity left at the Event for my attending wait staff, and (7) less the Event Deposit idenfied above. ","If my Event is Cancelled with less than 30 days notice, I authorize Skylight Gardens to charge my credit card any Event cancellation fees that may be owed as outlined in Section 7 of the Event Agreement Standard Terms &amp; Conditions.",""),CONCATENATE("I, _____________________________",", authorize Skylight Gardens to charge my Credit Card (listed above) in the amount of $",AGREEMENT!J29," for my Event(s) Deposit at Skylight Gardens, reserved on: ",AGREEMENT!V2," Once my Non-Refundable Event Deposit has been processed, this signed Credit Card Authorization and my signed Event Agreement will constitute my Event(s) Reservation Guarantee. In ", "the event that payment is not made at the conclusion of my Event, I hereby authorize Skylight Gardens to charge the above credit card in an ", "amount equal to: (1) the Food &amp; Beverage Minimum or the Event Menu price per person multipled by the actual number of event guests, ", "whichever is greater, as outlined in my Event Agreement, (2) any additional or miscellaneous fees outlined in my Event Agreement, (3) any per ", "consumption items or miscellaneous fees incurred at my Event, (4) a ",AGREEMENT!N28," equal to ",(100*AGREEMENT!N29),"% of my entire Event bill, (5) 9% California", "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23 of my Event Agreement Standard Terms &amp; Conditions.",""))</f>
        <v>I, _____________________________, authorize Skylight Gardens to charge my Credit Card (listed above) in the amount of $150 for my Event(s) Deposit at Skylight Gardens, reserved on: 6/21/2016 Once my Non-Refundable Event Deposit has been processed, this signed Credit Card Authorization and my signed Event Agreement will constitute my Event(s) Reservation Guarantee. In the event that payment is not made at the conclusion of my Event, I hereby authorize Skylight Gardens to charge the above credit card in an amount equal to: (1) the Food &amp; Beverage Minimum or the Event Menu price per person multipled by the actual number of event guests, whichever is greater, as outlined in my Event Agreement, (2) any additional or miscellaneous fees outlined in my Event Agreement, (3) any per consumption items or miscellaneous fees incurred at my Event, (4) a service fee equal to 22% of my entire Event bill, (5) 9% California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23 of my Event Agreement Standard Terms &amp; Conditions.</v>
      </c>
      <c r="C29" s="683"/>
      <c r="D29" s="683"/>
      <c r="E29" s="683"/>
      <c r="F29" s="683"/>
      <c r="G29" s="683"/>
      <c r="H29" s="683"/>
      <c r="I29" s="683"/>
      <c r="J29" s="683"/>
      <c r="K29" s="683"/>
      <c r="L29" s="683"/>
      <c r="M29" s="683"/>
      <c r="N29" s="683"/>
      <c r="O29" s="683"/>
      <c r="P29" s="683"/>
      <c r="Q29" s="683"/>
      <c r="R29" s="683"/>
      <c r="S29" s="683"/>
      <c r="T29" s="683"/>
      <c r="U29" s="683"/>
      <c r="V29" s="683"/>
      <c r="W29" s="683"/>
      <c r="X29" s="683"/>
      <c r="Y29" s="683"/>
      <c r="Z29" s="683"/>
      <c r="AB29" s="299"/>
      <c r="AC29" s="299"/>
      <c r="AD29" s="299"/>
      <c r="AE29" s="299"/>
      <c r="AF29" s="299"/>
      <c r="AG29" s="299"/>
      <c r="AH29" s="299"/>
      <c r="AI29" s="299"/>
    </row>
    <row r="30" spans="1:35" s="61" customFormat="1" ht="5" customHeight="1">
      <c r="A30" s="693"/>
      <c r="B30" s="691"/>
      <c r="C30" s="691"/>
      <c r="D30" s="691"/>
      <c r="E30" s="691"/>
      <c r="F30" s="691"/>
      <c r="G30" s="691"/>
      <c r="H30" s="691"/>
      <c r="I30" s="691"/>
      <c r="J30" s="691"/>
      <c r="K30" s="691"/>
      <c r="L30" s="691"/>
      <c r="M30" s="691"/>
      <c r="N30" s="691"/>
      <c r="O30" s="691"/>
      <c r="P30" s="691"/>
      <c r="Q30" s="691"/>
      <c r="R30" s="691"/>
      <c r="S30" s="691"/>
      <c r="T30" s="691"/>
      <c r="U30" s="691"/>
      <c r="V30" s="691"/>
      <c r="W30" s="691"/>
      <c r="X30" s="691"/>
      <c r="Y30" s="691"/>
      <c r="Z30" s="691"/>
      <c r="AA30" s="60"/>
      <c r="AB30" s="60"/>
      <c r="AC30" s="60"/>
      <c r="AD30" s="60"/>
      <c r="AE30" s="60"/>
      <c r="AF30" s="60"/>
      <c r="AG30" s="60"/>
      <c r="AH30" s="60"/>
      <c r="AI30" s="294"/>
    </row>
    <row r="31" spans="1:35" s="61" customFormat="1" ht="35" customHeight="1">
      <c r="A31" s="597"/>
      <c r="B31" s="679"/>
      <c r="C31" s="677"/>
      <c r="D31" s="677"/>
      <c r="E31" s="677"/>
      <c r="F31" s="677"/>
      <c r="G31" s="677"/>
      <c r="H31" s="677"/>
      <c r="I31" s="677"/>
      <c r="J31" s="677"/>
      <c r="K31" s="677"/>
      <c r="L31" s="677"/>
      <c r="M31" s="677"/>
      <c r="N31" s="677"/>
      <c r="O31" s="677"/>
      <c r="P31" s="677"/>
      <c r="Q31" s="677"/>
      <c r="R31" s="677"/>
      <c r="S31" s="677"/>
      <c r="T31" s="677"/>
      <c r="U31" s="678"/>
      <c r="V31" s="689"/>
      <c r="W31" s="689"/>
      <c r="X31" s="689"/>
      <c r="Y31" s="689"/>
      <c r="Z31" s="690"/>
      <c r="AA31" s="60"/>
      <c r="AB31" s="60"/>
      <c r="AC31" s="60"/>
      <c r="AD31" s="60"/>
      <c r="AE31" s="60"/>
      <c r="AF31" s="60"/>
      <c r="AG31" s="60"/>
      <c r="AH31" s="60"/>
      <c r="AI31" s="294"/>
    </row>
    <row r="32" spans="1:35" s="285" customFormat="1" ht="12" customHeight="1" thickBot="1">
      <c r="B32" s="684" t="s">
        <v>351</v>
      </c>
      <c r="C32" s="685"/>
      <c r="D32" s="685"/>
      <c r="E32" s="685"/>
      <c r="F32" s="685"/>
      <c r="G32" s="685"/>
      <c r="H32" s="685"/>
      <c r="I32" s="685"/>
      <c r="J32" s="685"/>
      <c r="K32" s="685" t="s">
        <v>352</v>
      </c>
      <c r="L32" s="685"/>
      <c r="M32" s="685"/>
      <c r="N32" s="685"/>
      <c r="O32" s="685"/>
      <c r="P32" s="685"/>
      <c r="Q32" s="685"/>
      <c r="R32" s="685"/>
      <c r="S32" s="685"/>
      <c r="T32" s="685"/>
      <c r="U32" s="686"/>
      <c r="V32" s="665" t="s">
        <v>2</v>
      </c>
      <c r="W32" s="666"/>
      <c r="X32" s="666"/>
      <c r="Y32" s="666"/>
      <c r="Z32" s="666"/>
      <c r="AA32" s="300"/>
      <c r="AB32" s="300"/>
      <c r="AC32" s="300"/>
      <c r="AD32" s="300"/>
      <c r="AE32" s="300"/>
      <c r="AF32" s="300"/>
      <c r="AG32" s="300"/>
      <c r="AH32" s="300"/>
    </row>
    <row r="33" spans="2:35" ht="2" customHeight="1" thickTop="1"/>
    <row r="34" spans="2:35" s="61" customFormat="1" ht="36" hidden="1" customHeight="1">
      <c r="B34" s="301"/>
      <c r="C34" s="301"/>
      <c r="D34" s="301"/>
      <c r="E34" s="301"/>
      <c r="F34" s="301"/>
      <c r="G34" s="301"/>
      <c r="H34" s="301"/>
      <c r="I34" s="301"/>
      <c r="J34" s="301"/>
      <c r="K34" s="301"/>
      <c r="L34" s="301"/>
      <c r="M34" s="301"/>
      <c r="N34" s="301"/>
      <c r="O34" s="301"/>
      <c r="P34" s="301"/>
      <c r="Q34" s="301"/>
      <c r="R34" s="301"/>
      <c r="S34" s="301"/>
      <c r="T34" s="301"/>
      <c r="U34" s="301"/>
      <c r="V34" s="302"/>
      <c r="W34" s="302"/>
      <c r="X34" s="302"/>
      <c r="Y34" s="302"/>
      <c r="Z34" s="302"/>
      <c r="AA34" s="60"/>
      <c r="AB34" s="60"/>
      <c r="AC34" s="60"/>
      <c r="AD34" s="60"/>
      <c r="AE34" s="60"/>
      <c r="AF34" s="60"/>
      <c r="AG34" s="60"/>
      <c r="AH34" s="60"/>
      <c r="AI34" s="294"/>
    </row>
    <row r="35" spans="2:35" s="61" customFormat="1" ht="36" hidden="1" customHeight="1">
      <c r="B35" s="667" t="s">
        <v>158</v>
      </c>
      <c r="C35" s="667"/>
      <c r="D35" s="667"/>
      <c r="E35" s="667"/>
      <c r="F35" s="667"/>
      <c r="G35" s="667"/>
      <c r="H35" s="667"/>
      <c r="I35" s="667"/>
      <c r="J35" s="667"/>
      <c r="K35" s="667"/>
      <c r="L35" s="667"/>
      <c r="M35" s="667"/>
      <c r="N35" s="667"/>
      <c r="O35" s="667"/>
      <c r="P35" s="667"/>
      <c r="Q35" s="667"/>
      <c r="R35" s="667"/>
      <c r="S35" s="667"/>
      <c r="T35" s="667"/>
      <c r="U35" s="667"/>
      <c r="V35" s="667"/>
      <c r="W35" s="667"/>
      <c r="X35" s="667"/>
      <c r="Y35" s="667"/>
      <c r="Z35" s="667"/>
      <c r="AA35" s="60"/>
      <c r="AB35" s="60"/>
      <c r="AC35" s="60"/>
      <c r="AD35" s="60"/>
      <c r="AE35" s="60"/>
      <c r="AF35" s="60"/>
      <c r="AG35" s="60"/>
      <c r="AH35" s="60"/>
      <c r="AI35" s="294"/>
    </row>
    <row r="36" spans="2:35" s="61" customFormat="1" ht="112" hidden="1" customHeight="1">
      <c r="B36" s="668" t="str">
        <f>IF(D17&gt;0,B73,B76)</f>
        <v>I, _____________________________, authorize Skylight Gardens to charge my Credit Card (listed above) in the amount of $150 for my Event(s) Deposit at Skylight Gardens, reserved on: 6/21/2016 Once my Non-Refundable Event Deposit has been processed, this signed Credit Card Authorization and my signed Event Agreement will constitute my Event(s) Reservation Guarantee. In the event that payment is not made at the conclusion of my Event, I hereby authorize Skylight Gardens to charge the above credit card in an amount equal to: (1) the Food &amp; Beverage Minimum or the Event Menu price per person multipled by the actual number of event guests, whichever is greater, as outlined in my Event Agreement, (2) any additional or miscellaneous fees outlined in my Event Agreement, (3) any per consumption items or miscellaneous fees incurred at my Event, (4) a service fee equal to 22% of my entire Event bill, (5) 9% California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23 of my Event Agreement Standard Terms &amp; Conditions.</v>
      </c>
      <c r="C36" s="668"/>
      <c r="D36" s="668"/>
      <c r="E36" s="668"/>
      <c r="F36" s="668"/>
      <c r="G36" s="668"/>
      <c r="H36" s="668"/>
      <c r="I36" s="668"/>
      <c r="J36" s="668"/>
      <c r="K36" s="668"/>
      <c r="L36" s="668"/>
      <c r="M36" s="668"/>
      <c r="N36" s="668"/>
      <c r="O36" s="668"/>
      <c r="P36" s="668"/>
      <c r="Q36" s="668"/>
      <c r="R36" s="668"/>
      <c r="S36" s="668"/>
      <c r="T36" s="668"/>
      <c r="U36" s="668"/>
      <c r="V36" s="668"/>
      <c r="W36" s="668"/>
      <c r="X36" s="668"/>
      <c r="Y36" s="668"/>
      <c r="Z36" s="668"/>
      <c r="AA36" s="60"/>
      <c r="AB36" s="60"/>
      <c r="AC36" s="60"/>
      <c r="AD36" s="60"/>
      <c r="AE36" s="60"/>
      <c r="AF36" s="60"/>
      <c r="AG36" s="60"/>
      <c r="AH36" s="60"/>
      <c r="AI36" s="294"/>
    </row>
    <row r="37" spans="2:35" s="61" customFormat="1" ht="23" hidden="1" customHeight="1">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60"/>
      <c r="AB37" s="60"/>
      <c r="AC37" s="60"/>
      <c r="AD37" s="60"/>
      <c r="AE37" s="60"/>
      <c r="AF37" s="60"/>
      <c r="AG37" s="60"/>
      <c r="AH37" s="60"/>
      <c r="AI37" s="294"/>
    </row>
    <row r="38" spans="2:35" s="61" customFormat="1" ht="31" hidden="1" customHeight="1">
      <c r="B38" s="667" t="s">
        <v>159</v>
      </c>
      <c r="C38" s="667"/>
      <c r="D38" s="667"/>
      <c r="E38" s="667"/>
      <c r="F38" s="667"/>
      <c r="G38" s="667"/>
      <c r="H38" s="667"/>
      <c r="I38" s="667"/>
      <c r="J38" s="667"/>
      <c r="K38" s="667"/>
      <c r="L38" s="667"/>
      <c r="M38" s="667"/>
      <c r="N38" s="667"/>
      <c r="O38" s="667"/>
      <c r="P38" s="667"/>
      <c r="Q38" s="667"/>
      <c r="R38" s="667"/>
      <c r="S38" s="667"/>
      <c r="T38" s="667"/>
      <c r="U38" s="667"/>
      <c r="V38" s="667"/>
      <c r="W38" s="667"/>
      <c r="X38" s="667"/>
      <c r="Y38" s="667"/>
      <c r="Z38" s="667"/>
      <c r="AA38" s="60"/>
      <c r="AB38" s="60"/>
      <c r="AC38" s="60"/>
      <c r="AD38" s="60"/>
      <c r="AE38" s="60"/>
      <c r="AF38" s="60"/>
      <c r="AG38" s="60"/>
      <c r="AH38" s="60"/>
      <c r="AI38" s="294"/>
    </row>
    <row r="39" spans="2:35" s="61" customFormat="1" ht="112" hidden="1" customHeight="1">
      <c r="B39" s="668" t="str">
        <f>IF(D17&gt;0,B79,B82)</f>
        <v>I, _____________________, authorize Skylight Gardens to charge my Credit Card (listed above) for any outstanding balance incured at my Event at Skylight Gardens, reserved on: Tuesday, June 21, 2016, from 12:30 PM to 3:30 PM. Once my Non-Refundable Event Deposit has been processed, this signed Credit Card Authorization and my signed Event Agreement will constitute my Event Reservation Guarantee. In the event that payment is not made at the conclusion of my Event, I hereby authorize Skylight Gardens to charge the above credit card in an amount equal to: (1) the Food &amp; Beverage Minimum or the Event Menu price per person multipled by the actual number of event guests, whichever is greater, as outlined in my Event Agreement, (2) any additional or miscellaneous fees outlined in my Event Agreement, (3) any per consumption items or miscellaneous fees incurred at my Event, (4) a Service Fee equal to 20% of my entire Event bill, (5) 9% California State Sales Tax (subject to change), (6) any additional Gratuity left at the Event for my attending wait staff, (7) less the my Event Deposit idenfied above, and (8) plus a $25 convenience fee. If my Event is Cancelled with less than 30 days notice, I authorize Skylight Gardens to charge my credit card any Event cancellation fees that may be owed as outlined in Section 23 of my Event Agreement Standard Terms &amp; Conditions.</v>
      </c>
      <c r="C39" s="668"/>
      <c r="D39" s="668"/>
      <c r="E39" s="668"/>
      <c r="F39" s="668"/>
      <c r="G39" s="668"/>
      <c r="H39" s="668"/>
      <c r="I39" s="668"/>
      <c r="J39" s="668"/>
      <c r="K39" s="668"/>
      <c r="L39" s="668"/>
      <c r="M39" s="668"/>
      <c r="N39" s="668"/>
      <c r="O39" s="668"/>
      <c r="P39" s="668"/>
      <c r="Q39" s="668"/>
      <c r="R39" s="668"/>
      <c r="S39" s="668"/>
      <c r="T39" s="668"/>
      <c r="U39" s="668"/>
      <c r="V39" s="668"/>
      <c r="W39" s="668"/>
      <c r="X39" s="668"/>
      <c r="Y39" s="668"/>
      <c r="Z39" s="668"/>
      <c r="AA39" s="60"/>
      <c r="AB39" s="60"/>
      <c r="AC39" s="60"/>
      <c r="AD39" s="60"/>
      <c r="AE39" s="60"/>
      <c r="AF39" s="60"/>
      <c r="AG39" s="60"/>
      <c r="AH39" s="60"/>
      <c r="AI39" s="294"/>
    </row>
    <row r="40" spans="2:35" s="61" customFormat="1" ht="9" hidden="1" customHeight="1">
      <c r="B40" s="30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60"/>
      <c r="AB40" s="60"/>
      <c r="AC40" s="60"/>
      <c r="AD40" s="60"/>
      <c r="AE40" s="60"/>
      <c r="AF40" s="60"/>
      <c r="AG40" s="60"/>
      <c r="AH40" s="60"/>
      <c r="AI40" s="294"/>
    </row>
    <row r="41" spans="2:35" s="61" customFormat="1" ht="8" hidden="1" customHeight="1">
      <c r="B41" s="669" t="s">
        <v>160</v>
      </c>
      <c r="C41" s="669"/>
      <c r="D41" s="669"/>
      <c r="E41" s="669"/>
      <c r="F41" s="669"/>
      <c r="G41" s="669"/>
      <c r="H41" s="669"/>
      <c r="I41" s="669"/>
      <c r="J41" s="669"/>
      <c r="K41" s="669"/>
      <c r="L41" s="669"/>
      <c r="M41" s="669"/>
      <c r="N41" s="669"/>
      <c r="O41" s="669"/>
      <c r="P41" s="669"/>
      <c r="Q41" s="669"/>
      <c r="R41" s="669"/>
      <c r="S41" s="669"/>
      <c r="T41" s="669"/>
      <c r="U41" s="669"/>
      <c r="V41" s="669"/>
      <c r="W41" s="669"/>
      <c r="X41" s="669"/>
      <c r="Y41" s="669"/>
      <c r="Z41" s="669"/>
      <c r="AA41" s="60"/>
      <c r="AB41" s="60"/>
      <c r="AC41" s="60"/>
      <c r="AD41" s="60"/>
      <c r="AE41" s="60"/>
      <c r="AF41" s="60"/>
      <c r="AG41" s="60"/>
      <c r="AH41" s="60"/>
      <c r="AI41" s="294"/>
    </row>
    <row r="42" spans="2:35" s="61" customFormat="1" ht="104" hidden="1" customHeight="1">
      <c r="B42" s="668" t="str">
        <f ca="1">IF(X28&gt;0,B49,B46)</f>
        <v>I, _________________________, authorize Skylight Gardens to charge my Credit Card (listed above) for the following amount on or after Sunday, June 11, 2017._x000D__x000D__x000D__x000D__x000D__x000D__x000D_Amount: $__________________________________</v>
      </c>
      <c r="C42" s="668"/>
      <c r="D42" s="668"/>
      <c r="E42" s="668"/>
      <c r="F42" s="668"/>
      <c r="G42" s="668"/>
      <c r="H42" s="668"/>
      <c r="I42" s="668"/>
      <c r="J42" s="668"/>
      <c r="K42" s="668"/>
      <c r="L42" s="668"/>
      <c r="M42" s="668"/>
      <c r="N42" s="668"/>
      <c r="O42" s="668"/>
      <c r="P42" s="668"/>
      <c r="Q42" s="668"/>
      <c r="R42" s="668"/>
      <c r="S42" s="668"/>
      <c r="T42" s="668"/>
      <c r="U42" s="668"/>
      <c r="V42" s="668"/>
      <c r="W42" s="668"/>
      <c r="X42" s="668"/>
      <c r="Y42" s="668"/>
      <c r="Z42" s="668"/>
      <c r="AA42" s="60"/>
      <c r="AB42" s="60"/>
      <c r="AC42" s="60"/>
      <c r="AD42" s="60"/>
      <c r="AE42" s="60"/>
      <c r="AF42" s="60"/>
      <c r="AG42" s="60"/>
      <c r="AH42" s="60"/>
      <c r="AI42" s="294"/>
    </row>
    <row r="43" spans="2:35" s="61" customFormat="1" ht="8" hidden="1" customHeight="1">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60"/>
      <c r="AB43" s="60"/>
      <c r="AC43" s="60"/>
      <c r="AD43" s="60"/>
      <c r="AE43" s="60"/>
      <c r="AF43" s="60"/>
      <c r="AG43" s="60"/>
      <c r="AH43" s="60"/>
      <c r="AI43" s="294"/>
    </row>
    <row r="44" spans="2:35" s="61" customFormat="1" ht="8" hidden="1" customHeight="1">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60"/>
      <c r="AB44" s="60"/>
      <c r="AC44" s="60"/>
      <c r="AD44" s="60"/>
      <c r="AE44" s="60"/>
      <c r="AF44" s="60"/>
      <c r="AG44" s="60"/>
      <c r="AH44" s="60"/>
      <c r="AI44" s="294"/>
    </row>
    <row r="45" spans="2:35" s="61" customFormat="1" ht="36" hidden="1" customHeight="1">
      <c r="B45" s="669" t="s">
        <v>160</v>
      </c>
      <c r="C45" s="669"/>
      <c r="D45" s="669"/>
      <c r="E45" s="669"/>
      <c r="F45" s="669"/>
      <c r="G45" s="669"/>
      <c r="H45" s="669"/>
      <c r="I45" s="669"/>
      <c r="J45" s="669"/>
      <c r="K45" s="669"/>
      <c r="L45" s="669"/>
      <c r="M45" s="669"/>
      <c r="N45" s="669"/>
      <c r="O45" s="669"/>
      <c r="P45" s="669"/>
      <c r="Q45" s="669"/>
      <c r="R45" s="669"/>
      <c r="S45" s="669"/>
      <c r="T45" s="669"/>
      <c r="U45" s="669"/>
      <c r="V45" s="669"/>
      <c r="W45" s="669"/>
      <c r="X45" s="669"/>
      <c r="Y45" s="669"/>
      <c r="Z45" s="669"/>
      <c r="AA45" s="60"/>
      <c r="AB45" s="60"/>
      <c r="AC45" s="60"/>
      <c r="AD45" s="60"/>
      <c r="AE45" s="60"/>
      <c r="AF45" s="60"/>
      <c r="AG45" s="60"/>
      <c r="AH45" s="60"/>
      <c r="AI45" s="294"/>
    </row>
    <row r="46" spans="2:35" s="61" customFormat="1" ht="101" hidden="1" customHeight="1">
      <c r="B46" s="673" t="str">
        <f ca="1">IF(D17&gt;0,B52,B55)</f>
        <v>I, _________________________, authorize Skylight Gardens to charge my Credit Card (listed above) for the following amount on or after Sunday, June 11, 2017._x000D__x000D__x000D__x000D__x000D__x000D__x000D_Amount: $__________________________________</v>
      </c>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0"/>
      <c r="AB46" s="60"/>
      <c r="AC46" s="60"/>
      <c r="AD46" s="60"/>
      <c r="AE46" s="60"/>
      <c r="AF46" s="60"/>
      <c r="AG46" s="60"/>
      <c r="AH46" s="60"/>
      <c r="AI46" s="294"/>
    </row>
    <row r="47" spans="2:35" s="61" customFormat="1" ht="12" hidden="1" customHeight="1">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60"/>
      <c r="AB47" s="60"/>
      <c r="AC47" s="60"/>
      <c r="AD47" s="60"/>
      <c r="AE47" s="60"/>
      <c r="AF47" s="60"/>
      <c r="AG47" s="60"/>
      <c r="AH47" s="60"/>
      <c r="AI47" s="294"/>
    </row>
    <row r="48" spans="2:35" s="61" customFormat="1" ht="28" hidden="1" customHeight="1">
      <c r="B48" s="669" t="s">
        <v>161</v>
      </c>
      <c r="C48" s="669"/>
      <c r="D48" s="669"/>
      <c r="E48" s="669"/>
      <c r="F48" s="669"/>
      <c r="G48" s="669"/>
      <c r="H48" s="669"/>
      <c r="I48" s="669"/>
      <c r="J48" s="669"/>
      <c r="K48" s="669"/>
      <c r="L48" s="669"/>
      <c r="M48" s="669"/>
      <c r="N48" s="669"/>
      <c r="O48" s="669"/>
      <c r="P48" s="669"/>
      <c r="Q48" s="669"/>
      <c r="R48" s="669"/>
      <c r="S48" s="669"/>
      <c r="T48" s="669"/>
      <c r="U48" s="669"/>
      <c r="V48" s="669"/>
      <c r="W48" s="669"/>
      <c r="X48" s="669"/>
      <c r="Y48" s="669"/>
      <c r="Z48" s="669"/>
      <c r="AA48" s="60"/>
      <c r="AB48" s="60"/>
      <c r="AC48" s="60"/>
      <c r="AD48" s="60"/>
      <c r="AE48" s="60"/>
      <c r="AF48" s="60"/>
      <c r="AG48" s="60"/>
      <c r="AH48" s="60"/>
      <c r="AI48" s="294"/>
    </row>
    <row r="49" spans="2:35" s="61" customFormat="1" ht="98" hidden="1" customHeight="1">
      <c r="B49" s="673" t="str">
        <f ca="1">IF(D17&gt;0,B58,B61)</f>
        <v>I, _________________________, authorize Skylight Gardens to charge my Credit Card (listed above) for: $, on or after Sunday, June 11, 2017.</v>
      </c>
      <c r="C49" s="673"/>
      <c r="D49" s="673"/>
      <c r="E49" s="673"/>
      <c r="F49" s="673"/>
      <c r="G49" s="673"/>
      <c r="H49" s="673"/>
      <c r="I49" s="673"/>
      <c r="J49" s="673"/>
      <c r="K49" s="673"/>
      <c r="L49" s="673"/>
      <c r="M49" s="673"/>
      <c r="N49" s="673"/>
      <c r="O49" s="673"/>
      <c r="P49" s="673"/>
      <c r="Q49" s="673"/>
      <c r="R49" s="673"/>
      <c r="S49" s="673"/>
      <c r="T49" s="673"/>
      <c r="U49" s="673"/>
      <c r="V49" s="673"/>
      <c r="W49" s="673"/>
      <c r="X49" s="673"/>
      <c r="Y49" s="673"/>
      <c r="Z49" s="673"/>
      <c r="AA49" s="60"/>
      <c r="AB49" s="60"/>
      <c r="AC49" s="60"/>
      <c r="AD49" s="60"/>
      <c r="AE49" s="60"/>
      <c r="AF49" s="60"/>
      <c r="AG49" s="60"/>
      <c r="AH49" s="60"/>
      <c r="AI49" s="294"/>
    </row>
    <row r="50" spans="2:35" s="61" customFormat="1" ht="35" hidden="1" customHeight="1">
      <c r="B50" s="305"/>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60"/>
      <c r="AB50" s="60"/>
      <c r="AC50" s="60"/>
      <c r="AD50" s="60"/>
      <c r="AE50" s="60"/>
      <c r="AF50" s="60"/>
      <c r="AG50" s="60"/>
      <c r="AH50" s="60"/>
      <c r="AI50" s="294"/>
    </row>
    <row r="51" spans="2:35" s="61" customFormat="1" ht="36" hidden="1" customHeight="1">
      <c r="B51" s="671" t="s">
        <v>162</v>
      </c>
      <c r="C51" s="672"/>
      <c r="D51" s="672"/>
      <c r="E51" s="672"/>
      <c r="F51" s="672"/>
      <c r="G51" s="672"/>
      <c r="H51" s="672"/>
      <c r="I51" s="672"/>
      <c r="J51" s="672"/>
      <c r="K51" s="672"/>
      <c r="L51" s="672"/>
      <c r="M51" s="672"/>
      <c r="N51" s="672"/>
      <c r="O51" s="672"/>
      <c r="P51" s="672"/>
      <c r="Q51" s="672"/>
      <c r="R51" s="672"/>
      <c r="S51" s="672"/>
      <c r="T51" s="672"/>
      <c r="U51" s="672"/>
      <c r="V51" s="672"/>
      <c r="W51" s="672"/>
      <c r="X51" s="672"/>
      <c r="Y51" s="672"/>
      <c r="Z51" s="672"/>
      <c r="AA51" s="60"/>
      <c r="AB51" s="60"/>
      <c r="AC51" s="60"/>
      <c r="AD51" s="60"/>
      <c r="AE51" s="60"/>
      <c r="AF51" s="60"/>
      <c r="AG51" s="60"/>
      <c r="AH51" s="60"/>
      <c r="AI51" s="294"/>
    </row>
    <row r="52" spans="2:35" s="61" customFormat="1" ht="106" hidden="1" customHeight="1">
      <c r="B52" s="670" t="str">
        <f ca="1">CONCATENATE("I, ",D17,", authorize Skylight Gardens to charge my Credit Card (listed above) for the following amount on or after ",TEXT(TODAY(),"dddd, mmmm dd, yyyy."),"
Amount: $__________________________________")</f>
        <v>I, , authorize Skylight Gardens to charge my Credit Card (listed above) for the following amount on or after Sunday, June 11, 2017._x000D__x000D__x000D__x000D__x000D__x000D__x000D_Amount: $__________________________________</v>
      </c>
      <c r="C52" s="670"/>
      <c r="D52" s="670"/>
      <c r="E52" s="670"/>
      <c r="F52" s="670"/>
      <c r="G52" s="670"/>
      <c r="H52" s="670"/>
      <c r="I52" s="670"/>
      <c r="J52" s="670"/>
      <c r="K52" s="670"/>
      <c r="L52" s="670"/>
      <c r="M52" s="670"/>
      <c r="N52" s="670"/>
      <c r="O52" s="670"/>
      <c r="P52" s="670"/>
      <c r="Q52" s="670"/>
      <c r="R52" s="670"/>
      <c r="S52" s="670"/>
      <c r="T52" s="670"/>
      <c r="U52" s="670"/>
      <c r="V52" s="670"/>
      <c r="W52" s="670"/>
      <c r="X52" s="670"/>
      <c r="Y52" s="670"/>
      <c r="Z52" s="670"/>
      <c r="AA52" s="60"/>
      <c r="AB52" s="60"/>
      <c r="AC52" s="60"/>
      <c r="AD52" s="60"/>
      <c r="AE52" s="60"/>
      <c r="AF52" s="60"/>
      <c r="AG52" s="60"/>
      <c r="AH52" s="60"/>
      <c r="AI52" s="294"/>
    </row>
    <row r="53" spans="2:35" s="61" customFormat="1" ht="7" hidden="1" customHeight="1">
      <c r="B53" s="305"/>
      <c r="C53" s="305"/>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60"/>
      <c r="AB53" s="60"/>
      <c r="AC53" s="60"/>
      <c r="AD53" s="60"/>
      <c r="AE53" s="60"/>
      <c r="AF53" s="60"/>
      <c r="AG53" s="60"/>
      <c r="AH53" s="60"/>
      <c r="AI53" s="294"/>
    </row>
    <row r="54" spans="2:35" s="61" customFormat="1" ht="36" hidden="1" customHeight="1">
      <c r="B54" s="671" t="s">
        <v>163</v>
      </c>
      <c r="C54" s="672"/>
      <c r="D54" s="672"/>
      <c r="E54" s="672"/>
      <c r="F54" s="672"/>
      <c r="G54" s="672"/>
      <c r="H54" s="672"/>
      <c r="I54" s="672"/>
      <c r="J54" s="672"/>
      <c r="K54" s="672"/>
      <c r="L54" s="672"/>
      <c r="M54" s="672"/>
      <c r="N54" s="672"/>
      <c r="O54" s="672"/>
      <c r="P54" s="672"/>
      <c r="Q54" s="672"/>
      <c r="R54" s="672"/>
      <c r="S54" s="672"/>
      <c r="T54" s="672"/>
      <c r="U54" s="672"/>
      <c r="V54" s="672"/>
      <c r="W54" s="672"/>
      <c r="X54" s="672"/>
      <c r="Y54" s="672"/>
      <c r="Z54" s="672"/>
      <c r="AA54" s="60"/>
      <c r="AB54" s="60"/>
      <c r="AC54" s="60"/>
      <c r="AD54" s="60"/>
      <c r="AE54" s="60"/>
      <c r="AF54" s="60"/>
      <c r="AG54" s="60"/>
      <c r="AH54" s="60"/>
      <c r="AI54" s="294"/>
    </row>
    <row r="55" spans="2:35" s="61" customFormat="1" ht="142" hidden="1" customHeight="1">
      <c r="B55" s="670" t="str">
        <f ca="1">CONCATENATE("I, _________________________",", authorize Skylight Gardens to charge my Credit Card (listed above) for the following amount on or after ",TEXT(TODAY(),"dddd, mmmm dd, yyyy."),"
Amount: $__________________________________")</f>
        <v>I, _________________________, authorize Skylight Gardens to charge my Credit Card (listed above) for the following amount on or after Sunday, June 11, 2017._x000D__x000D__x000D__x000D__x000D__x000D__x000D_Amount: $__________________________________</v>
      </c>
      <c r="C55" s="670"/>
      <c r="D55" s="670"/>
      <c r="E55" s="670"/>
      <c r="F55" s="670"/>
      <c r="G55" s="670"/>
      <c r="H55" s="670"/>
      <c r="I55" s="670"/>
      <c r="J55" s="670"/>
      <c r="K55" s="670"/>
      <c r="L55" s="670"/>
      <c r="M55" s="670"/>
      <c r="N55" s="670"/>
      <c r="O55" s="670"/>
      <c r="P55" s="670"/>
      <c r="Q55" s="670"/>
      <c r="R55" s="670"/>
      <c r="S55" s="670"/>
      <c r="T55" s="670"/>
      <c r="U55" s="670"/>
      <c r="V55" s="670"/>
      <c r="W55" s="670"/>
      <c r="X55" s="670"/>
      <c r="Y55" s="670"/>
      <c r="Z55" s="670"/>
      <c r="AA55" s="60"/>
      <c r="AB55" s="60"/>
      <c r="AC55" s="60"/>
      <c r="AD55" s="60"/>
      <c r="AE55" s="60"/>
      <c r="AF55" s="60"/>
      <c r="AG55" s="60"/>
      <c r="AH55" s="60"/>
      <c r="AI55" s="294"/>
    </row>
    <row r="56" spans="2:35" s="61" customFormat="1" ht="13" hidden="1" customHeight="1">
      <c r="B56" s="306"/>
      <c r="C56" s="306"/>
      <c r="D56" s="306"/>
      <c r="E56" s="306"/>
      <c r="F56" s="306"/>
      <c r="G56" s="306"/>
      <c r="H56" s="306"/>
      <c r="I56" s="306"/>
      <c r="J56" s="306"/>
      <c r="K56" s="306"/>
      <c r="L56" s="306"/>
      <c r="M56" s="306"/>
      <c r="N56" s="306"/>
      <c r="O56" s="306"/>
      <c r="P56" s="306"/>
      <c r="Q56" s="306"/>
      <c r="R56" s="306"/>
      <c r="S56" s="306"/>
      <c r="T56" s="306"/>
      <c r="U56" s="306"/>
      <c r="V56" s="306"/>
      <c r="W56" s="306"/>
      <c r="X56" s="306"/>
      <c r="Y56" s="306"/>
      <c r="Z56" s="306"/>
      <c r="AA56" s="60"/>
      <c r="AB56" s="60"/>
      <c r="AC56" s="60"/>
      <c r="AD56" s="60"/>
      <c r="AE56" s="60"/>
      <c r="AF56" s="60"/>
      <c r="AG56" s="60"/>
      <c r="AH56" s="60"/>
      <c r="AI56" s="294"/>
    </row>
    <row r="57" spans="2:35" s="61" customFormat="1" ht="26" hidden="1" customHeight="1">
      <c r="B57" s="671" t="s">
        <v>342</v>
      </c>
      <c r="C57" s="672"/>
      <c r="D57" s="672"/>
      <c r="E57" s="672"/>
      <c r="F57" s="672"/>
      <c r="G57" s="672"/>
      <c r="H57" s="672"/>
      <c r="I57" s="672"/>
      <c r="J57" s="672"/>
      <c r="K57" s="672"/>
      <c r="L57" s="672"/>
      <c r="M57" s="672"/>
      <c r="N57" s="672"/>
      <c r="O57" s="672"/>
      <c r="P57" s="672"/>
      <c r="Q57" s="672"/>
      <c r="R57" s="672"/>
      <c r="S57" s="672"/>
      <c r="T57" s="672"/>
      <c r="U57" s="672"/>
      <c r="V57" s="672"/>
      <c r="W57" s="672"/>
      <c r="X57" s="672"/>
      <c r="Y57" s="672"/>
      <c r="Z57" s="672"/>
      <c r="AA57" s="60"/>
      <c r="AB57" s="60"/>
      <c r="AC57" s="60"/>
      <c r="AD57" s="60"/>
      <c r="AE57" s="60"/>
      <c r="AF57" s="60"/>
      <c r="AG57" s="60"/>
      <c r="AH57" s="60"/>
      <c r="AI57" s="294"/>
    </row>
    <row r="58" spans="2:35" s="61" customFormat="1" ht="96" hidden="1" customHeight="1">
      <c r="B58" s="694" t="str">
        <f ca="1">CONCATENATE("I, ",D17,", authorize Skylight Gardens to charge my Credit Card (listed above) for: $",X28,", on or after ",TEXT(TODAY(),"dddd, mmmm dd, yyyy."))</f>
        <v>I, , authorize Skylight Gardens to charge my Credit Card (listed above) for: $, on or after Sunday, June 11, 2017.</v>
      </c>
      <c r="C58" s="694"/>
      <c r="D58" s="694"/>
      <c r="E58" s="694"/>
      <c r="F58" s="694"/>
      <c r="G58" s="694"/>
      <c r="H58" s="694"/>
      <c r="I58" s="694"/>
      <c r="J58" s="694"/>
      <c r="K58" s="694"/>
      <c r="L58" s="694"/>
      <c r="M58" s="694"/>
      <c r="N58" s="694"/>
      <c r="O58" s="694"/>
      <c r="P58" s="694"/>
      <c r="Q58" s="694"/>
      <c r="R58" s="694"/>
      <c r="S58" s="694"/>
      <c r="T58" s="694"/>
      <c r="U58" s="694"/>
      <c r="V58" s="694"/>
      <c r="W58" s="694"/>
      <c r="X58" s="694"/>
      <c r="Y58" s="694"/>
      <c r="Z58" s="694"/>
      <c r="AA58" s="60"/>
      <c r="AB58" s="60"/>
      <c r="AC58" s="60"/>
      <c r="AD58" s="60"/>
      <c r="AE58" s="60"/>
      <c r="AF58" s="60"/>
      <c r="AG58" s="60"/>
      <c r="AH58" s="60"/>
      <c r="AI58" s="294"/>
    </row>
    <row r="59" spans="2:35" s="61" customFormat="1" ht="7" hidden="1" customHeight="1">
      <c r="B59" s="306"/>
      <c r="C59" s="306"/>
      <c r="D59" s="306"/>
      <c r="E59" s="306"/>
      <c r="F59" s="306"/>
      <c r="G59" s="306"/>
      <c r="H59" s="306"/>
      <c r="I59" s="306"/>
      <c r="J59" s="306"/>
      <c r="K59" s="306"/>
      <c r="L59" s="306"/>
      <c r="M59" s="306"/>
      <c r="N59" s="306"/>
      <c r="O59" s="306"/>
      <c r="P59" s="306"/>
      <c r="Q59" s="306"/>
      <c r="R59" s="306"/>
      <c r="S59" s="306"/>
      <c r="T59" s="306"/>
      <c r="U59" s="306"/>
      <c r="V59" s="306"/>
      <c r="W59" s="306"/>
      <c r="X59" s="306"/>
      <c r="Y59" s="306"/>
      <c r="Z59" s="306"/>
      <c r="AA59" s="60"/>
      <c r="AB59" s="60"/>
      <c r="AC59" s="60"/>
      <c r="AD59" s="60"/>
      <c r="AE59" s="60"/>
      <c r="AF59" s="60"/>
      <c r="AG59" s="60"/>
      <c r="AH59" s="60"/>
      <c r="AI59" s="294"/>
    </row>
    <row r="60" spans="2:35" s="61" customFormat="1" ht="26" hidden="1" customHeight="1">
      <c r="B60" s="671" t="s">
        <v>343</v>
      </c>
      <c r="C60" s="672"/>
      <c r="D60" s="672"/>
      <c r="E60" s="672"/>
      <c r="F60" s="672"/>
      <c r="G60" s="672"/>
      <c r="H60" s="672"/>
      <c r="I60" s="672"/>
      <c r="J60" s="672"/>
      <c r="K60" s="672"/>
      <c r="L60" s="672"/>
      <c r="M60" s="672"/>
      <c r="N60" s="672"/>
      <c r="O60" s="672"/>
      <c r="P60" s="672"/>
      <c r="Q60" s="672"/>
      <c r="R60" s="672"/>
      <c r="S60" s="672"/>
      <c r="T60" s="672"/>
      <c r="U60" s="672"/>
      <c r="V60" s="672"/>
      <c r="W60" s="672"/>
      <c r="X60" s="672"/>
      <c r="Y60" s="672"/>
      <c r="Z60" s="672"/>
      <c r="AA60" s="60"/>
      <c r="AB60" s="60"/>
      <c r="AC60" s="60"/>
      <c r="AD60" s="60"/>
      <c r="AE60" s="60"/>
      <c r="AF60" s="60"/>
      <c r="AG60" s="60"/>
      <c r="AH60" s="60"/>
      <c r="AI60" s="294"/>
    </row>
    <row r="61" spans="2:35" s="61" customFormat="1" ht="112" hidden="1" customHeight="1">
      <c r="B61" s="670" t="str">
        <f ca="1">CONCATENATE("I, _________________________",", authorize Skylight Gardens to charge my Credit Card (listed above) for: $",X28,", on or after ",TEXT(TODAY(),"dddd, mmmm dd, yyyy."))</f>
        <v>I, _________________________, authorize Skylight Gardens to charge my Credit Card (listed above) for: $, on or after Sunday, June 11, 2017.</v>
      </c>
      <c r="C61" s="670"/>
      <c r="D61" s="670"/>
      <c r="E61" s="670"/>
      <c r="F61" s="670"/>
      <c r="G61" s="670"/>
      <c r="H61" s="670"/>
      <c r="I61" s="670"/>
      <c r="J61" s="670"/>
      <c r="K61" s="670"/>
      <c r="L61" s="670"/>
      <c r="M61" s="670"/>
      <c r="N61" s="670"/>
      <c r="O61" s="670"/>
      <c r="P61" s="670"/>
      <c r="Q61" s="670"/>
      <c r="R61" s="670"/>
      <c r="S61" s="670"/>
      <c r="T61" s="670"/>
      <c r="U61" s="670"/>
      <c r="V61" s="670"/>
      <c r="W61" s="670"/>
      <c r="X61" s="670"/>
      <c r="Y61" s="670"/>
      <c r="Z61" s="670"/>
      <c r="AA61" s="60"/>
      <c r="AB61" s="60"/>
      <c r="AC61" s="60"/>
      <c r="AD61" s="60"/>
      <c r="AE61" s="60"/>
      <c r="AF61" s="60"/>
      <c r="AG61" s="60"/>
      <c r="AH61" s="60"/>
      <c r="AI61" s="294"/>
    </row>
    <row r="62" spans="2:35" s="61" customFormat="1" ht="36" hidden="1" customHeight="1">
      <c r="B62" s="303"/>
      <c r="C62" s="303"/>
      <c r="D62" s="303"/>
      <c r="E62" s="303"/>
      <c r="F62" s="303"/>
      <c r="G62" s="303"/>
      <c r="H62" s="303"/>
      <c r="I62" s="303"/>
      <c r="J62" s="303"/>
      <c r="K62" s="303"/>
      <c r="L62" s="303"/>
      <c r="M62" s="303"/>
      <c r="N62" s="303"/>
      <c r="O62" s="303"/>
      <c r="P62" s="303"/>
      <c r="Q62" s="303"/>
      <c r="R62" s="303"/>
      <c r="S62" s="303"/>
      <c r="T62" s="303"/>
      <c r="U62" s="303"/>
      <c r="V62" s="303"/>
      <c r="W62" s="303"/>
      <c r="X62" s="303"/>
      <c r="Y62" s="303"/>
      <c r="Z62" s="303"/>
      <c r="AA62" s="60"/>
      <c r="AB62" s="60"/>
      <c r="AC62" s="60"/>
      <c r="AD62" s="60"/>
      <c r="AE62" s="60"/>
      <c r="AF62" s="60"/>
      <c r="AG62" s="60"/>
      <c r="AH62" s="60"/>
      <c r="AI62" s="294"/>
    </row>
    <row r="63" spans="2:35" s="61" customFormat="1" ht="36" hidden="1" customHeight="1">
      <c r="B63" s="303"/>
      <c r="C63" s="303"/>
      <c r="D63" s="303"/>
      <c r="E63" s="303"/>
      <c r="F63" s="303"/>
      <c r="G63" s="303"/>
      <c r="H63" s="303"/>
      <c r="I63" s="303"/>
      <c r="J63" s="303"/>
      <c r="K63" s="303"/>
      <c r="L63" s="303"/>
      <c r="M63" s="303"/>
      <c r="N63" s="303"/>
      <c r="O63" s="303"/>
      <c r="P63" s="303"/>
      <c r="Q63" s="303"/>
      <c r="R63" s="303"/>
      <c r="S63" s="303"/>
      <c r="T63" s="303"/>
      <c r="U63" s="303"/>
      <c r="V63" s="303"/>
      <c r="W63" s="303"/>
      <c r="X63" s="303"/>
      <c r="Y63" s="303"/>
      <c r="Z63" s="303"/>
      <c r="AA63" s="60"/>
      <c r="AB63" s="60"/>
      <c r="AC63" s="60"/>
      <c r="AD63" s="60"/>
      <c r="AE63" s="60"/>
      <c r="AF63" s="60"/>
      <c r="AG63" s="60"/>
      <c r="AH63" s="60"/>
      <c r="AI63" s="294"/>
    </row>
    <row r="64" spans="2:35" s="61" customFormat="1" ht="133" hidden="1" customHeight="1">
      <c r="B64" s="303"/>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60"/>
      <c r="AB64" s="60"/>
      <c r="AC64" s="60"/>
      <c r="AD64" s="60"/>
      <c r="AE64" s="60"/>
      <c r="AF64" s="60"/>
      <c r="AG64" s="60"/>
      <c r="AH64" s="60"/>
      <c r="AI64" s="294"/>
    </row>
    <row r="65" spans="2:35" s="61" customFormat="1" ht="9" hidden="1" customHeight="1">
      <c r="B65" s="303"/>
      <c r="C65" s="303"/>
      <c r="D65" s="303"/>
      <c r="E65" s="303"/>
      <c r="F65" s="303"/>
      <c r="G65" s="303"/>
      <c r="H65" s="303"/>
      <c r="I65" s="303"/>
      <c r="J65" s="303"/>
      <c r="K65" s="303"/>
      <c r="L65" s="303"/>
      <c r="M65" s="303"/>
      <c r="N65" s="303"/>
      <c r="O65" s="303"/>
      <c r="P65" s="303"/>
      <c r="Q65" s="303"/>
      <c r="R65" s="303"/>
      <c r="S65" s="303"/>
      <c r="T65" s="303"/>
      <c r="U65" s="303"/>
      <c r="V65" s="303"/>
      <c r="W65" s="303"/>
      <c r="X65" s="303"/>
      <c r="Y65" s="303"/>
      <c r="Z65" s="303"/>
      <c r="AA65" s="60"/>
      <c r="AB65" s="60"/>
      <c r="AC65" s="60"/>
      <c r="AD65" s="60"/>
      <c r="AE65" s="60"/>
      <c r="AF65" s="60"/>
      <c r="AG65" s="60"/>
      <c r="AH65" s="60"/>
      <c r="AI65" s="294"/>
    </row>
    <row r="66" spans="2:35" s="309" customFormat="1" ht="36" hidden="1" customHeight="1">
      <c r="B66" s="668" t="s">
        <v>344</v>
      </c>
      <c r="C66" s="668"/>
      <c r="D66" s="668"/>
      <c r="E66" s="668"/>
      <c r="F66" s="668"/>
      <c r="G66" s="668"/>
      <c r="H66" s="668"/>
      <c r="I66" s="668"/>
      <c r="J66" s="668"/>
      <c r="K66" s="668"/>
      <c r="L66" s="668"/>
      <c r="M66" s="668"/>
      <c r="N66" s="668"/>
      <c r="O66" s="668"/>
      <c r="P66" s="668"/>
      <c r="Q66" s="668"/>
      <c r="R66" s="668"/>
      <c r="S66" s="668"/>
      <c r="T66" s="668"/>
      <c r="U66" s="668"/>
      <c r="V66" s="668"/>
      <c r="W66" s="668"/>
      <c r="X66" s="668"/>
      <c r="Y66" s="668"/>
      <c r="Z66" s="668"/>
      <c r="AA66" s="307"/>
      <c r="AB66" s="307"/>
      <c r="AC66" s="307"/>
      <c r="AD66" s="307"/>
      <c r="AE66" s="307"/>
      <c r="AF66" s="307"/>
      <c r="AG66" s="307"/>
      <c r="AH66" s="307"/>
      <c r="AI66" s="308"/>
    </row>
    <row r="67" spans="2:35" s="309" customFormat="1" ht="167" hidden="1" customHeight="1">
      <c r="B67" s="675" t="str">
        <f>IF('FACT 1'!$AA$96=3,B73,B79)</f>
        <v>I, _____________________________, authorize Skylight Gardens to charge my Credit Card (listed above) in the amount of $150 for my Event(s) Deposit at Skylight Gardens, reserved on: 6/21/2016 Once my Non-Refundable Event Deposit has been processed, this signed Credit Card Authorization and my signed Event Agreement will constitute my Event(s) Reservation Guarantee. In the event that payment is not made at the conclusion of my Event, I hereby authorize Skylight Gardens to charge the above credit card in an amount equal to: (1) the Food &amp; Beverage Minimum or the Event Menu price per person multipled by the actual number of event guests, whichever is greater, as outlined in my Event Agreement, (2) any additional or miscellaneous fees outlined in my Event Agreement, (3) any per consumption items or miscellaneous fees incurred at my Event, (4) a service fee equal to 22% of my entire Event bill, (5) 9% California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23 of my Event Agreement Standard Terms &amp; Conditions.</v>
      </c>
      <c r="C67" s="675"/>
      <c r="D67" s="675"/>
      <c r="E67" s="675"/>
      <c r="F67" s="675"/>
      <c r="G67" s="675"/>
      <c r="H67" s="675"/>
      <c r="I67" s="675"/>
      <c r="J67" s="675"/>
      <c r="K67" s="675"/>
      <c r="L67" s="675"/>
      <c r="M67" s="675"/>
      <c r="N67" s="675"/>
      <c r="O67" s="675"/>
      <c r="P67" s="675"/>
      <c r="Q67" s="675"/>
      <c r="R67" s="675"/>
      <c r="S67" s="675"/>
      <c r="T67" s="675"/>
      <c r="U67" s="675"/>
      <c r="V67" s="675"/>
      <c r="W67" s="675"/>
      <c r="X67" s="675"/>
      <c r="Y67" s="675"/>
      <c r="Z67" s="675"/>
      <c r="AA67" s="307"/>
      <c r="AB67" s="307"/>
      <c r="AC67" s="307"/>
      <c r="AD67" s="307"/>
      <c r="AE67" s="307"/>
      <c r="AF67" s="307"/>
      <c r="AG67" s="307"/>
      <c r="AH67" s="307"/>
      <c r="AI67" s="308"/>
    </row>
    <row r="68" spans="2:35" s="309" customFormat="1" ht="11" hidden="1" customHeight="1">
      <c r="B68" s="310"/>
      <c r="C68" s="310"/>
      <c r="D68" s="310"/>
      <c r="E68" s="310"/>
      <c r="F68" s="310"/>
      <c r="G68" s="310"/>
      <c r="H68" s="310"/>
      <c r="I68" s="310"/>
      <c r="J68" s="310"/>
      <c r="K68" s="310"/>
      <c r="L68" s="310"/>
      <c r="M68" s="310"/>
      <c r="N68" s="310"/>
      <c r="O68" s="310"/>
      <c r="P68" s="310"/>
      <c r="Q68" s="310"/>
      <c r="R68" s="310"/>
      <c r="S68" s="310"/>
      <c r="T68" s="310"/>
      <c r="U68" s="310"/>
      <c r="V68" s="311"/>
      <c r="W68" s="311"/>
      <c r="X68" s="311"/>
      <c r="Y68" s="311"/>
      <c r="Z68" s="311"/>
      <c r="AA68" s="307"/>
      <c r="AB68" s="307"/>
      <c r="AC68" s="307"/>
      <c r="AD68" s="307"/>
      <c r="AE68" s="307"/>
      <c r="AF68" s="307"/>
      <c r="AG68" s="307"/>
      <c r="AH68" s="307"/>
      <c r="AI68" s="308"/>
    </row>
    <row r="69" spans="2:35" s="309" customFormat="1" ht="36" hidden="1" customHeight="1">
      <c r="B69" s="668" t="s">
        <v>345</v>
      </c>
      <c r="C69" s="668"/>
      <c r="D69" s="668"/>
      <c r="E69" s="668"/>
      <c r="F69" s="668"/>
      <c r="G69" s="668"/>
      <c r="H69" s="668"/>
      <c r="I69" s="668"/>
      <c r="J69" s="668"/>
      <c r="K69" s="668"/>
      <c r="L69" s="668"/>
      <c r="M69" s="668"/>
      <c r="N69" s="668"/>
      <c r="O69" s="668"/>
      <c r="P69" s="668"/>
      <c r="Q69" s="668"/>
      <c r="R69" s="668"/>
      <c r="S69" s="668"/>
      <c r="T69" s="668"/>
      <c r="U69" s="668"/>
      <c r="V69" s="668"/>
      <c r="W69" s="668"/>
      <c r="X69" s="668"/>
      <c r="Y69" s="668"/>
      <c r="Z69" s="668"/>
      <c r="AA69" s="307"/>
      <c r="AB69" s="307"/>
      <c r="AC69" s="307"/>
      <c r="AD69" s="307"/>
      <c r="AE69" s="307"/>
      <c r="AF69" s="307"/>
      <c r="AG69" s="307"/>
      <c r="AH69" s="307"/>
      <c r="AI69" s="308"/>
    </row>
    <row r="70" spans="2:35" s="313" customFormat="1" ht="36" hidden="1" customHeight="1">
      <c r="B70" s="675" t="str">
        <f>IF('FACT 1'!$AA$96=3,B76,B82)</f>
        <v>I, _____________________________, authorize Skylight Gardens to charge my Credit Card (listed above) in the amount of $150 for my Event(s) Deposit at Skylight Gardens, reserved on: 6/21/2016 Once my Non-Refundable Event Deposit has been processed, this signed Credit Card Authorization and my signed Event Agreement will constitute my Event(s) Reservation Guarantee. In the event that payment is not made at the conclusion of my Event, I hereby authorize Skylight Gardens to charge the above credit card in an amount equal to: (1) the Food &amp; Beverage Minimum or the Event Menu price per person multipled by the actual number of event guests, whichever is greater, as outlined in my Event Agreement, (2) any additional or miscellaneous fees outlined in my Event Agreement, (3) any per consumption items or miscellaneous fees incurred at my Event, (4) a service fee equal to 22% of my entire Event bill, (5) 9% California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23 of my Event Agreement Standard Terms &amp; Conditions.</v>
      </c>
      <c r="C70" s="675"/>
      <c r="D70" s="675"/>
      <c r="E70" s="675"/>
      <c r="F70" s="675"/>
      <c r="G70" s="675"/>
      <c r="H70" s="675"/>
      <c r="I70" s="675"/>
      <c r="J70" s="675"/>
      <c r="K70" s="675"/>
      <c r="L70" s="675"/>
      <c r="M70" s="675"/>
      <c r="N70" s="675"/>
      <c r="O70" s="675"/>
      <c r="P70" s="675"/>
      <c r="Q70" s="675"/>
      <c r="R70" s="675"/>
      <c r="S70" s="675"/>
      <c r="T70" s="675"/>
      <c r="U70" s="675"/>
      <c r="V70" s="675"/>
      <c r="W70" s="675"/>
      <c r="X70" s="675"/>
      <c r="Y70" s="675"/>
      <c r="Z70" s="675"/>
      <c r="AA70" s="312"/>
      <c r="AB70" s="312"/>
      <c r="AC70" s="312"/>
      <c r="AD70" s="312"/>
      <c r="AE70" s="312"/>
      <c r="AF70" s="312"/>
      <c r="AG70" s="312"/>
      <c r="AH70" s="312"/>
    </row>
    <row r="71" spans="2:35" s="313" customFormat="1" ht="65" hidden="1" customHeight="1">
      <c r="B71" s="314"/>
      <c r="C71" s="314"/>
      <c r="D71" s="314"/>
      <c r="E71" s="314"/>
      <c r="F71" s="314"/>
      <c r="G71" s="314"/>
      <c r="H71" s="314"/>
      <c r="I71" s="314"/>
      <c r="J71" s="314"/>
      <c r="K71" s="314"/>
      <c r="L71" s="314"/>
      <c r="M71" s="314"/>
      <c r="N71" s="314"/>
      <c r="O71" s="314"/>
      <c r="P71" s="314"/>
      <c r="Q71" s="314"/>
      <c r="R71" s="314"/>
      <c r="S71" s="314"/>
      <c r="T71" s="314"/>
      <c r="U71" s="314"/>
      <c r="V71" s="315"/>
      <c r="W71" s="315"/>
      <c r="X71" s="315"/>
      <c r="Y71" s="315"/>
      <c r="Z71" s="315"/>
      <c r="AA71" s="312"/>
      <c r="AB71" s="312"/>
      <c r="AC71" s="312"/>
      <c r="AD71" s="312"/>
      <c r="AE71" s="312"/>
      <c r="AF71" s="312"/>
      <c r="AG71" s="312"/>
      <c r="AH71" s="312"/>
    </row>
    <row r="72" spans="2:35" s="285" customFormat="1" ht="39" hidden="1" customHeight="1">
      <c r="B72" s="668" t="s">
        <v>346</v>
      </c>
      <c r="C72" s="668"/>
      <c r="D72" s="668"/>
      <c r="E72" s="668"/>
      <c r="F72" s="668"/>
      <c r="G72" s="668"/>
      <c r="H72" s="668"/>
      <c r="I72" s="668"/>
      <c r="J72" s="668"/>
      <c r="K72" s="668"/>
      <c r="L72" s="668"/>
      <c r="M72" s="668"/>
      <c r="N72" s="668"/>
      <c r="O72" s="668"/>
      <c r="P72" s="668"/>
      <c r="Q72" s="668"/>
      <c r="R72" s="668"/>
      <c r="S72" s="668"/>
      <c r="T72" s="668"/>
      <c r="U72" s="668"/>
      <c r="V72" s="668"/>
      <c r="W72" s="668"/>
      <c r="X72" s="668"/>
      <c r="Y72" s="668"/>
      <c r="Z72" s="668"/>
      <c r="AA72" s="300"/>
      <c r="AB72" s="300"/>
      <c r="AC72" s="300"/>
      <c r="AD72" s="300"/>
      <c r="AE72" s="300"/>
      <c r="AF72" s="300"/>
      <c r="AG72" s="300"/>
      <c r="AH72" s="300"/>
    </row>
    <row r="73" spans="2:35" s="285" customFormat="1" ht="107" hidden="1" customHeight="1">
      <c r="B73" s="674" t="str">
        <f>IF(D17&gt;0,CONCATENATE("I, ",D17,", authorize Skylight Gardens to charge my Credit Card (listed above) in the amount of $",AGREEMENT!J29," for my Event(s) Deposit at Skylight Gardens, reserved on or between: ",AGREEMENT!V2,". Once my Non-Refundable Event(s) Deposit has been processed, this signed Credit Card Authorization and my signed Event Agreement will constitute my Event Reservation Guarantee. In ", "the event that payment is not made at the conclusion of the Event(s), I hereby authorize Skylight Gardens to charge the above credit card in an ", "amount equal to: (1) the Food &amp; Beverage Minimum or the Event Menu price per person multipled by the actual number of event guests, ", "whichever is greater, as outlined in my Event Agreement, (2) any additional or miscellaneous fees outlined in my Event Agreement, (3) any per ", "consumption items or miscellaneous fees incurred at my Event, (4) a ",AGREEMENT!N28," equal to ",(100*AGREEMENT!N29),"% of my entire Event bill, (5) 9% California", " State Sales Tax (subject to change), (6) any additional Gratuity left at the Event for my attending wait staff, and (7) less the Event Deposit idenfied above. ","If my Event is Cancelled with less than 30 days notice, I authorize Skylight Gardens to charge my credit card any Event cancellation fees that may be owed as outlined in Section 7 of the Event Agreement Standard Terms &amp; Conditions.",""),CONCATENATE("I, _____________________________",", authorize Skylight Gardens to charge my Credit Card (listed above) in the amount of $",AGREEMENT!J29," for my Event(s) Deposit at Skylight Gardens, reserved on: ",AGREEMENT!V2," Once my Non-Refundable Event Deposit has been processed, this signed Credit Card Authorization and my signed Event Agreement will constitute my Event(s) Reservation Guarantee. In ", "the event that payment is not made at the conclusion of my Event, I hereby authorize Skylight Gardens to charge the above credit card in an ", "amount equal to: (1) the Food &amp; Beverage Minimum or the Event Menu price per person multipled by the actual number of event guests, ", "whichever is greater, as outlined in my Event Agreement, (2) any additional or miscellaneous fees outlined in my Event Agreement, (3) any per ", "consumption items or miscellaneous fees incurred at my Event, (4) a ",AGREEMENT!N28," equal to ",(100*AGREEMENT!N29),"% of my entire Event bill, (5) 9% California", "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23 of my Event Agreement Standard Terms &amp; Conditions.",""))</f>
        <v>I, _____________________________, authorize Skylight Gardens to charge my Credit Card (listed above) in the amount of $150 for my Event(s) Deposit at Skylight Gardens, reserved on: 6/21/2016 Once my Non-Refundable Event Deposit has been processed, this signed Credit Card Authorization and my signed Event Agreement will constitute my Event(s) Reservation Guarantee. In the event that payment is not made at the conclusion of my Event, I hereby authorize Skylight Gardens to charge the above credit card in an amount equal to: (1) the Food &amp; Beverage Minimum or the Event Menu price per person multipled by the actual number of event guests, whichever is greater, as outlined in my Event Agreement, (2) any additional or miscellaneous fees outlined in my Event Agreement, (3) any per consumption items or miscellaneous fees incurred at my Event, (4) a service fee equal to 22% of my entire Event bill, (5) 9% California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23 of my Event Agreement Standard Terms &amp; Conditions.</v>
      </c>
      <c r="C73" s="674"/>
      <c r="D73" s="674"/>
      <c r="E73" s="674"/>
      <c r="F73" s="674"/>
      <c r="G73" s="674"/>
      <c r="H73" s="674"/>
      <c r="I73" s="674"/>
      <c r="J73" s="674"/>
      <c r="K73" s="674"/>
      <c r="L73" s="674"/>
      <c r="M73" s="674"/>
      <c r="N73" s="674"/>
      <c r="O73" s="674"/>
      <c r="P73" s="674"/>
      <c r="Q73" s="674"/>
      <c r="R73" s="674"/>
      <c r="S73" s="674"/>
      <c r="T73" s="674"/>
      <c r="U73" s="674"/>
      <c r="V73" s="674"/>
      <c r="W73" s="674"/>
      <c r="X73" s="674"/>
      <c r="Y73" s="674"/>
      <c r="Z73" s="674"/>
      <c r="AA73" s="300"/>
      <c r="AB73" s="300"/>
      <c r="AC73" s="300"/>
      <c r="AD73" s="300"/>
      <c r="AE73" s="300"/>
      <c r="AF73" s="300"/>
      <c r="AG73" s="300"/>
      <c r="AH73" s="300"/>
    </row>
    <row r="74" spans="2:35" s="285" customFormat="1" ht="7" hidden="1" customHeight="1">
      <c r="B74" s="316"/>
      <c r="C74" s="316"/>
      <c r="D74" s="316"/>
      <c r="E74" s="316"/>
      <c r="F74" s="316"/>
      <c r="G74" s="316"/>
      <c r="H74" s="316"/>
      <c r="I74" s="316"/>
      <c r="J74" s="316"/>
      <c r="K74" s="316"/>
      <c r="L74" s="316"/>
      <c r="M74" s="316"/>
      <c r="N74" s="316"/>
      <c r="O74" s="316"/>
      <c r="P74" s="316"/>
      <c r="Q74" s="316"/>
      <c r="R74" s="316"/>
      <c r="S74" s="316"/>
      <c r="T74" s="316"/>
      <c r="U74" s="316"/>
      <c r="V74" s="316"/>
      <c r="W74" s="316"/>
      <c r="X74" s="316"/>
      <c r="Y74" s="316"/>
      <c r="Z74" s="316"/>
      <c r="AA74" s="300"/>
      <c r="AB74" s="300"/>
      <c r="AC74" s="300"/>
      <c r="AD74" s="300"/>
      <c r="AE74" s="300"/>
      <c r="AF74" s="300"/>
      <c r="AG74" s="300"/>
      <c r="AH74" s="300"/>
    </row>
    <row r="75" spans="2:35" s="285" customFormat="1" ht="34" hidden="1" customHeight="1">
      <c r="B75" s="668" t="s">
        <v>347</v>
      </c>
      <c r="C75" s="668"/>
      <c r="D75" s="668"/>
      <c r="E75" s="668"/>
      <c r="F75" s="668"/>
      <c r="G75" s="668"/>
      <c r="H75" s="668"/>
      <c r="I75" s="668"/>
      <c r="J75" s="668"/>
      <c r="K75" s="668"/>
      <c r="L75" s="668"/>
      <c r="M75" s="668"/>
      <c r="N75" s="668"/>
      <c r="O75" s="668"/>
      <c r="P75" s="668"/>
      <c r="Q75" s="668"/>
      <c r="R75" s="668"/>
      <c r="S75" s="668"/>
      <c r="T75" s="668"/>
      <c r="U75" s="668"/>
      <c r="V75" s="668"/>
      <c r="W75" s="668"/>
      <c r="X75" s="668"/>
      <c r="Y75" s="668"/>
      <c r="Z75" s="668"/>
      <c r="AA75" s="300"/>
      <c r="AB75" s="300"/>
      <c r="AC75" s="300"/>
      <c r="AD75" s="300"/>
      <c r="AE75" s="300"/>
      <c r="AF75" s="300"/>
      <c r="AG75" s="300"/>
      <c r="AH75" s="300"/>
    </row>
    <row r="76" spans="2:35" s="285" customFormat="1" ht="86" hidden="1" customHeight="1">
      <c r="B76" s="674" t="str">
        <f>CONCATENATE("I, _____________________________",", authorize Skylight Gardens to charge my Credit Card (listed above) in the amount of $",AGREEMENT!J29," for my Event(s) Deposit at Skylight Gardens, reserved on: ",AGREEMENT!V2," Once my Non-Refundable Event Deposit has been processed, this signed Credit Card Authorization and my signed Event Agreement will constitute my Event(s) Reservation Guarantee. In ", "the event that payment is not made at the conclusion of my Event, I hereby authorize Skylight Gardens to charge the above credit card in an ", "amount equal to: (1) the Food &amp; Beverage Minimum or the Event Menu price per person multipled by the actual number of event guests, ", "whichever is greater, as outlined in my Event Agreement, (2) any additional or miscellaneous fees outlined in my Event Agreement, (3) any per ", "consumption items or miscellaneous fees incurred at my Event, (4) a ",AGREEMENT!N28," equal to ",(100*AGREEMENT!N29),"% of my entire Event bill, (5) 9% California", "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23 of my Event Agreement Standard Terms &amp; Conditions.","")</f>
        <v>I, _____________________________, authorize Skylight Gardens to charge my Credit Card (listed above) in the amount of $150 for my Event(s) Deposit at Skylight Gardens, reserved on: 6/21/2016 Once my Non-Refundable Event Deposit has been processed, this signed Credit Card Authorization and my signed Event Agreement will constitute my Event(s) Reservation Guarantee. In the event that payment is not made at the conclusion of my Event, I hereby authorize Skylight Gardens to charge the above credit card in an amount equal to: (1) the Food &amp; Beverage Minimum or the Event Menu price per person multipled by the actual number of event guests, whichever is greater, as outlined in my Event Agreement, (2) any additional or miscellaneous fees outlined in my Event Agreement, (3) any per consumption items or miscellaneous fees incurred at my Event, (4) a service fee equal to 22% of my entire Event bill, (5) 9% California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23 of my Event Agreement Standard Terms &amp; Conditions.</v>
      </c>
      <c r="C76" s="674"/>
      <c r="D76" s="674"/>
      <c r="E76" s="674"/>
      <c r="F76" s="674"/>
      <c r="G76" s="674"/>
      <c r="H76" s="674"/>
      <c r="I76" s="674"/>
      <c r="J76" s="674"/>
      <c r="K76" s="674"/>
      <c r="L76" s="674"/>
      <c r="M76" s="674"/>
      <c r="N76" s="674"/>
      <c r="O76" s="674"/>
      <c r="P76" s="674"/>
      <c r="Q76" s="674"/>
      <c r="R76" s="674"/>
      <c r="S76" s="674"/>
      <c r="T76" s="674"/>
      <c r="U76" s="674"/>
      <c r="V76" s="674"/>
      <c r="W76" s="674"/>
      <c r="X76" s="674"/>
      <c r="Y76" s="674"/>
      <c r="Z76" s="674"/>
      <c r="AA76" s="300"/>
      <c r="AB76" s="300"/>
      <c r="AC76" s="300"/>
      <c r="AD76" s="300"/>
      <c r="AE76" s="300"/>
      <c r="AF76" s="300"/>
      <c r="AG76" s="300"/>
      <c r="AH76" s="300"/>
    </row>
    <row r="77" spans="2:35" s="285" customFormat="1" ht="7" hidden="1" customHeight="1">
      <c r="B77" s="316"/>
      <c r="C77" s="316"/>
      <c r="D77" s="316"/>
      <c r="E77" s="316"/>
      <c r="F77" s="316"/>
      <c r="G77" s="316"/>
      <c r="H77" s="316"/>
      <c r="I77" s="316"/>
      <c r="J77" s="316"/>
      <c r="K77" s="316"/>
      <c r="L77" s="316"/>
      <c r="M77" s="316"/>
      <c r="N77" s="316"/>
      <c r="O77" s="316"/>
      <c r="P77" s="316"/>
      <c r="Q77" s="316"/>
      <c r="R77" s="316"/>
      <c r="S77" s="316"/>
      <c r="T77" s="316"/>
      <c r="U77" s="316"/>
      <c r="V77" s="316"/>
      <c r="W77" s="316"/>
      <c r="X77" s="316"/>
      <c r="Y77" s="316"/>
      <c r="Z77" s="316"/>
      <c r="AA77" s="300"/>
      <c r="AB77" s="300"/>
      <c r="AC77" s="300"/>
      <c r="AD77" s="300"/>
      <c r="AE77" s="300"/>
      <c r="AF77" s="300"/>
      <c r="AG77" s="300"/>
      <c r="AH77" s="300"/>
    </row>
    <row r="78" spans="2:35" s="285" customFormat="1" ht="27" hidden="1" customHeight="1">
      <c r="B78" s="668" t="s">
        <v>348</v>
      </c>
      <c r="C78" s="668"/>
      <c r="D78" s="668"/>
      <c r="E78" s="668"/>
      <c r="F78" s="668"/>
      <c r="G78" s="668"/>
      <c r="H78" s="668"/>
      <c r="I78" s="668"/>
      <c r="J78" s="668"/>
      <c r="K78" s="668"/>
      <c r="L78" s="668"/>
      <c r="M78" s="668"/>
      <c r="N78" s="668"/>
      <c r="O78" s="668"/>
      <c r="P78" s="668"/>
      <c r="Q78" s="668"/>
      <c r="R78" s="668"/>
      <c r="S78" s="668"/>
      <c r="T78" s="668"/>
      <c r="U78" s="668"/>
      <c r="V78" s="668"/>
      <c r="W78" s="668"/>
      <c r="X78" s="668"/>
      <c r="Y78" s="668"/>
      <c r="Z78" s="668"/>
      <c r="AA78" s="300"/>
      <c r="AB78" s="300"/>
      <c r="AC78" s="300"/>
      <c r="AD78" s="300"/>
      <c r="AE78" s="300"/>
      <c r="AF78" s="300"/>
      <c r="AG78" s="300"/>
      <c r="AH78" s="300"/>
    </row>
    <row r="79" spans="2:35" s="285" customFormat="1" ht="101" hidden="1" customHeight="1">
      <c r="B79" s="674" t="str">
        <f>CONCATENATE("I, ",D17,", authorize Skylight Gardens to charge my Credit Card (listed above) for any outstanding balance incured at my Event at Skylight Gardens, reserved on: ",B85," Once my Non-Refundable Event Deposit has been processed, this signed Credit Card Authorization and my signed Event Agreement will constitute my Event Reservation Guarantee. In ", "the event that payment is not made at the conclusion of my Event, I hereby authorize Skylight Gardens to charge the above credit card in an ", "amount equal to: (1) the Food &amp; Beverage Minimum or the Event Menu price per person multipled by the actual number of event guests, ", "whichever is greater, as outlined in my Event Agreement, (2) any additional or miscellaneous fees outlined in my Event Agreement, (3) any per ", "consumption items or miscellaneous fees incurred at my Event, (4) a Service Fee equal to",AGREEMENT!N29," % of my entire Event bill, (5) 9% California", "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7 of my Event Agreement Standard Terms &amp; Conditions.","")</f>
        <v>I, , authorize Skylight Gardens to charge my Credit Card (listed above) for any outstanding balance incured at my Event at Skylight Gardens, reserved on: Tuesday, June 21, 2016, from 12:30 PM to 3:30 PM. Once my Non-Refundable Event Deposit has been processed, this signed Credit Card Authorization and my signed Event Agreement will constitute my Event Reservation Guarantee. In the event that payment is not made at the conclusion of my Event, I hereby authorize Skylight Gardens to charge the above credit card in an amount equal to: (1) the Food &amp; Beverage Minimum or the Event Menu price per person multipled by the actual number of event guests, whichever is greater, as outlined in my Event Agreement, (2) any additional or miscellaneous fees outlined in my Event Agreement, (3) any per consumption items or miscellaneous fees incurred at my Event, (4) a Service Fee equal to0.22 % of my entire Event bill, (5) 9% California State Sales Tax (subject to change), (6) any additional Gratuity left at the Event for my attending wait staff, and (7) less the my Event Deposit idenfied above. If my Event is Cancelled with less than 30 days notice, I authorize Skylight Gardens to charge my credit card any Event cancellation fees that may be owed as outlined in Section 7 of my Event Agreement Standard Terms &amp; Conditions.</v>
      </c>
      <c r="C79" s="674"/>
      <c r="D79" s="674"/>
      <c r="E79" s="674"/>
      <c r="F79" s="674"/>
      <c r="G79" s="674"/>
      <c r="H79" s="674"/>
      <c r="I79" s="674"/>
      <c r="J79" s="674"/>
      <c r="K79" s="674"/>
      <c r="L79" s="674"/>
      <c r="M79" s="674"/>
      <c r="N79" s="674"/>
      <c r="O79" s="674"/>
      <c r="P79" s="674"/>
      <c r="Q79" s="674"/>
      <c r="R79" s="674"/>
      <c r="S79" s="674"/>
      <c r="T79" s="674"/>
      <c r="U79" s="674"/>
      <c r="V79" s="674"/>
      <c r="W79" s="674"/>
      <c r="X79" s="674"/>
      <c r="Y79" s="674"/>
      <c r="Z79" s="674"/>
      <c r="AA79" s="300"/>
      <c r="AB79" s="300"/>
      <c r="AC79" s="300"/>
      <c r="AD79" s="300"/>
      <c r="AE79" s="300"/>
      <c r="AF79" s="300"/>
      <c r="AG79" s="300"/>
      <c r="AH79" s="300"/>
    </row>
    <row r="80" spans="2:35" s="285" customFormat="1" ht="12" hidden="1" customHeight="1">
      <c r="B80" s="316"/>
      <c r="C80" s="316"/>
      <c r="D80" s="316"/>
      <c r="E80" s="316"/>
      <c r="F80" s="316"/>
      <c r="G80" s="316"/>
      <c r="H80" s="316"/>
      <c r="I80" s="316"/>
      <c r="J80" s="316"/>
      <c r="K80" s="316"/>
      <c r="L80" s="316"/>
      <c r="M80" s="316"/>
      <c r="N80" s="316"/>
      <c r="O80" s="316"/>
      <c r="P80" s="316"/>
      <c r="Q80" s="316"/>
      <c r="R80" s="316"/>
      <c r="S80" s="316"/>
      <c r="T80" s="316"/>
      <c r="U80" s="316"/>
      <c r="V80" s="316"/>
      <c r="W80" s="316"/>
      <c r="X80" s="316"/>
      <c r="Y80" s="316"/>
      <c r="Z80" s="316"/>
      <c r="AA80" s="300"/>
      <c r="AB80" s="300"/>
      <c r="AC80" s="300"/>
      <c r="AD80" s="300"/>
      <c r="AE80" s="300"/>
      <c r="AF80" s="300"/>
      <c r="AG80" s="300"/>
      <c r="AH80" s="300"/>
    </row>
    <row r="81" spans="2:34" s="285" customFormat="1" ht="35" hidden="1" customHeight="1">
      <c r="B81" s="668" t="s">
        <v>349</v>
      </c>
      <c r="C81" s="668"/>
      <c r="D81" s="668"/>
      <c r="E81" s="668"/>
      <c r="F81" s="668"/>
      <c r="G81" s="668"/>
      <c r="H81" s="668"/>
      <c r="I81" s="668"/>
      <c r="J81" s="668"/>
      <c r="K81" s="668"/>
      <c r="L81" s="668"/>
      <c r="M81" s="668"/>
      <c r="N81" s="668"/>
      <c r="O81" s="668"/>
      <c r="P81" s="668"/>
      <c r="Q81" s="668"/>
      <c r="R81" s="668"/>
      <c r="S81" s="668"/>
      <c r="T81" s="668"/>
      <c r="U81" s="668"/>
      <c r="V81" s="668"/>
      <c r="W81" s="668"/>
      <c r="X81" s="668"/>
      <c r="Y81" s="668"/>
      <c r="Z81" s="668"/>
      <c r="AA81" s="300"/>
      <c r="AB81" s="300"/>
      <c r="AC81" s="300"/>
      <c r="AD81" s="300"/>
      <c r="AE81" s="300"/>
      <c r="AF81" s="300"/>
      <c r="AG81" s="300"/>
      <c r="AH81" s="300"/>
    </row>
    <row r="82" spans="2:34" s="285" customFormat="1" ht="75" hidden="1" customHeight="1">
      <c r="B82" s="674" t="str">
        <f>CONCATENATE("I, _____________________",", authorize Skylight Gardens to charge my Credit Card (listed above) for any outstanding balance incured at my Event at Skylight Gardens, reserved on: ",B85," Once my Non-Refundable Event Deposit has been processed, this signed Credit Card Authorization and my signed Event Agreement will constitute my Event Reservation Guarantee. In ", "the event that payment is not made at the conclusion of my Event, I hereby authorize Skylight Gardens to charge the above credit card in an ", "amount equal to: (1) the Food &amp; Beverage Minimum or the Event Menu price per person multipled by the actual number of event guests, ", "whichever is greater, as outlined in my Event Agreement, (2) any additional or miscellaneous fees outlined in my Event Agreement, (3) any per ", "consumption items or miscellaneous fees incurred at my Event, (4) a Service Fee equal to 20% of my entire Event bill, (5) 9% California", " State Sales Tax (subject to change), (6) any additional Gratuity left at the Event for my attending wait staff, (7) less the my Event Deposit idenfied above, and (8) plus a $25 convenience fee. ","If my Event is Cancelled with less than 30 days notice, I authorize Skylight Gardens to charge my credit card any Event cancellation fees that may be owed as outlined in Section 23 of my Event Agreement Standard Terms &amp; Conditions.","")</f>
        <v>I, _____________________, authorize Skylight Gardens to charge my Credit Card (listed above) for any outstanding balance incured at my Event at Skylight Gardens, reserved on: Tuesday, June 21, 2016, from 12:30 PM to 3:30 PM. Once my Non-Refundable Event Deposit has been processed, this signed Credit Card Authorization and my signed Event Agreement will constitute my Event Reservation Guarantee. In the event that payment is not made at the conclusion of my Event, I hereby authorize Skylight Gardens to charge the above credit card in an amount equal to: (1) the Food &amp; Beverage Minimum or the Event Menu price per person multipled by the actual number of event guests, whichever is greater, as outlined in my Event Agreement, (2) any additional or miscellaneous fees outlined in my Event Agreement, (3) any per consumption items or miscellaneous fees incurred at my Event, (4) a Service Fee equal to 20% of my entire Event bill, (5) 9% California State Sales Tax (subject to change), (6) any additional Gratuity left at the Event for my attending wait staff, (7) less the my Event Deposit idenfied above, and (8) plus a $25 convenience fee. If my Event is Cancelled with less than 30 days notice, I authorize Skylight Gardens to charge my credit card any Event cancellation fees that may be owed as outlined in Section 23 of my Event Agreement Standard Terms &amp; Conditions.</v>
      </c>
      <c r="C82" s="674"/>
      <c r="D82" s="674"/>
      <c r="E82" s="674"/>
      <c r="F82" s="674"/>
      <c r="G82" s="674"/>
      <c r="H82" s="674"/>
      <c r="I82" s="674"/>
      <c r="J82" s="674"/>
      <c r="K82" s="674"/>
      <c r="L82" s="674"/>
      <c r="M82" s="674"/>
      <c r="N82" s="674"/>
      <c r="O82" s="674"/>
      <c r="P82" s="674"/>
      <c r="Q82" s="674"/>
      <c r="R82" s="674"/>
      <c r="S82" s="674"/>
      <c r="T82" s="674"/>
      <c r="U82" s="674"/>
      <c r="V82" s="674"/>
      <c r="W82" s="674"/>
      <c r="X82" s="674"/>
      <c r="Y82" s="674"/>
      <c r="Z82" s="674"/>
      <c r="AA82" s="300"/>
      <c r="AB82" s="300"/>
      <c r="AC82" s="300"/>
      <c r="AD82" s="300"/>
      <c r="AE82" s="300"/>
      <c r="AF82" s="300"/>
      <c r="AG82" s="300"/>
      <c r="AH82" s="300"/>
    </row>
    <row r="83" spans="2:34" s="285" customFormat="1" ht="12" hidden="1" customHeight="1">
      <c r="B83" s="316"/>
      <c r="C83" s="316"/>
      <c r="D83" s="316"/>
      <c r="E83" s="316"/>
      <c r="F83" s="316"/>
      <c r="G83" s="316"/>
      <c r="H83" s="316"/>
      <c r="I83" s="316"/>
      <c r="J83" s="316"/>
      <c r="K83" s="316"/>
      <c r="L83" s="316"/>
      <c r="M83" s="316"/>
      <c r="N83" s="316"/>
      <c r="O83" s="316"/>
      <c r="P83" s="316"/>
      <c r="Q83" s="316"/>
      <c r="R83" s="316"/>
      <c r="S83" s="316"/>
      <c r="T83" s="316"/>
      <c r="U83" s="316"/>
      <c r="V83" s="316"/>
      <c r="W83" s="316"/>
      <c r="X83" s="316"/>
      <c r="Y83" s="316"/>
      <c r="Z83" s="316"/>
      <c r="AA83" s="300"/>
      <c r="AB83" s="300"/>
      <c r="AC83" s="300"/>
      <c r="AD83" s="300"/>
      <c r="AE83" s="300"/>
      <c r="AF83" s="300"/>
      <c r="AG83" s="300"/>
      <c r="AH83" s="300"/>
    </row>
    <row r="84" spans="2:34" s="285" customFormat="1" ht="20" hidden="1" customHeight="1">
      <c r="B84" s="676" t="s">
        <v>130</v>
      </c>
      <c r="C84" s="676"/>
      <c r="D84" s="676"/>
      <c r="E84" s="676"/>
      <c r="F84" s="676"/>
      <c r="G84" s="676"/>
      <c r="H84" s="676"/>
      <c r="I84" s="676"/>
      <c r="J84" s="676"/>
      <c r="K84" s="676"/>
      <c r="L84" s="676"/>
      <c r="M84" s="676"/>
      <c r="N84" s="676"/>
      <c r="O84" s="676"/>
      <c r="P84" s="676"/>
      <c r="Q84" s="676"/>
      <c r="R84" s="676"/>
      <c r="S84" s="676"/>
      <c r="T84" s="676"/>
      <c r="U84" s="676"/>
      <c r="V84" s="676"/>
      <c r="W84" s="676"/>
      <c r="X84" s="676"/>
      <c r="Y84" s="676"/>
      <c r="Z84" s="676"/>
      <c r="AA84" s="300"/>
      <c r="AB84" s="300"/>
      <c r="AC84" s="300"/>
      <c r="AD84" s="300"/>
      <c r="AE84" s="300"/>
      <c r="AF84" s="300"/>
      <c r="AG84" s="300"/>
      <c r="AH84" s="300"/>
    </row>
    <row r="85" spans="2:34" s="285" customFormat="1" ht="25" hidden="1" customHeight="1">
      <c r="B85" s="674" t="str">
        <f>(CONCATENATE(TEXT('FACT 1'!B19,"dddd"))&amp;", "&amp;(TEXT('FACT 1'!B19,"mmmm d, yyyy"))&amp;", from "&amp;(TEXT('FACT 1'!F19,"h:mm am/pm"))&amp;" to "&amp;(TEXT('FACT 1'!J19,"h:mm am/pm.")))</f>
        <v>Tuesday, June 21, 2016, from 12:30 PM to 3:30 PM.</v>
      </c>
      <c r="C85" s="674"/>
      <c r="D85" s="674"/>
      <c r="E85" s="674"/>
      <c r="F85" s="674"/>
      <c r="G85" s="674"/>
      <c r="H85" s="674"/>
      <c r="I85" s="674"/>
      <c r="J85" s="674"/>
      <c r="K85" s="674"/>
      <c r="L85" s="674"/>
      <c r="M85" s="674"/>
      <c r="N85" s="674"/>
      <c r="O85" s="674"/>
      <c r="P85" s="674"/>
      <c r="Q85" s="674"/>
      <c r="R85" s="674"/>
      <c r="S85" s="674"/>
      <c r="T85" s="674"/>
      <c r="U85" s="674"/>
      <c r="V85" s="674"/>
      <c r="W85" s="674"/>
      <c r="X85" s="674"/>
      <c r="Y85" s="674"/>
      <c r="Z85" s="674"/>
      <c r="AA85" s="300"/>
      <c r="AB85" s="300"/>
      <c r="AC85" s="300"/>
      <c r="AD85" s="300"/>
      <c r="AE85" s="300"/>
      <c r="AF85" s="300"/>
      <c r="AG85" s="300"/>
      <c r="AH85" s="300"/>
    </row>
    <row r="86" spans="2:34" s="285" customFormat="1" ht="36" hidden="1" customHeight="1">
      <c r="B86" s="317" t="s">
        <v>153</v>
      </c>
      <c r="C86" s="317">
        <v>2</v>
      </c>
      <c r="D86" s="317"/>
      <c r="E86" s="317"/>
      <c r="F86" s="317"/>
      <c r="G86" s="317"/>
      <c r="H86" s="317"/>
      <c r="I86" s="317"/>
      <c r="J86" s="317"/>
      <c r="K86" s="317"/>
      <c r="L86" s="317"/>
      <c r="M86" s="317"/>
      <c r="N86" s="317"/>
      <c r="O86" s="317"/>
      <c r="P86" s="317"/>
      <c r="Q86" s="317"/>
      <c r="R86" s="317"/>
      <c r="S86" s="317"/>
      <c r="T86" s="317"/>
      <c r="U86" s="317"/>
      <c r="V86" s="318"/>
      <c r="W86" s="318"/>
      <c r="X86" s="318"/>
      <c r="Y86" s="318"/>
      <c r="Z86" s="318"/>
      <c r="AA86" s="300"/>
      <c r="AB86" s="300"/>
      <c r="AC86" s="300"/>
      <c r="AD86" s="300"/>
      <c r="AE86" s="300"/>
      <c r="AF86" s="300"/>
      <c r="AG86" s="300"/>
      <c r="AH86" s="300"/>
    </row>
    <row r="87" spans="2:34" s="285" customFormat="1" ht="36" hidden="1" customHeight="1">
      <c r="B87" s="317" t="s">
        <v>165</v>
      </c>
      <c r="C87" s="317"/>
      <c r="D87" s="317"/>
      <c r="E87" s="317"/>
      <c r="F87" s="317"/>
      <c r="G87" s="317"/>
      <c r="H87" s="317"/>
      <c r="I87" s="317"/>
      <c r="J87" s="317"/>
      <c r="K87" s="317"/>
      <c r="L87" s="317"/>
      <c r="M87" s="317"/>
      <c r="N87" s="317"/>
      <c r="O87" s="317"/>
      <c r="P87" s="317"/>
      <c r="Q87" s="317"/>
      <c r="R87" s="317"/>
      <c r="S87" s="317"/>
      <c r="T87" s="317"/>
      <c r="U87" s="317"/>
      <c r="V87" s="318"/>
      <c r="W87" s="318"/>
      <c r="X87" s="318"/>
      <c r="Y87" s="318"/>
      <c r="Z87" s="318"/>
      <c r="AA87" s="300"/>
      <c r="AB87" s="300"/>
      <c r="AC87" s="300"/>
      <c r="AD87" s="300"/>
      <c r="AE87" s="300"/>
      <c r="AF87" s="300"/>
      <c r="AG87" s="300"/>
      <c r="AH87" s="300"/>
    </row>
    <row r="88" spans="2:34" s="285" customFormat="1" ht="36" hidden="1" customHeight="1">
      <c r="B88" s="317" t="s">
        <v>164</v>
      </c>
      <c r="C88" s="317"/>
      <c r="D88" s="317"/>
      <c r="E88" s="317"/>
      <c r="F88" s="317"/>
      <c r="G88" s="317"/>
      <c r="H88" s="317"/>
      <c r="I88" s="317"/>
      <c r="J88" s="317"/>
      <c r="K88" s="317"/>
      <c r="L88" s="317"/>
      <c r="M88" s="317"/>
      <c r="N88" s="317"/>
      <c r="O88" s="317"/>
      <c r="P88" s="317"/>
      <c r="Q88" s="317"/>
      <c r="R88" s="317"/>
      <c r="S88" s="317"/>
      <c r="T88" s="317"/>
      <c r="U88" s="317"/>
      <c r="V88" s="318"/>
      <c r="W88" s="318"/>
      <c r="X88" s="318"/>
      <c r="Y88" s="318"/>
      <c r="Z88" s="318"/>
      <c r="AA88" s="300"/>
      <c r="AB88" s="300"/>
      <c r="AC88" s="300"/>
      <c r="AD88" s="300"/>
      <c r="AE88" s="300"/>
      <c r="AF88" s="300"/>
      <c r="AG88" s="300"/>
      <c r="AH88" s="300"/>
    </row>
    <row r="89" spans="2:34" s="285" customFormat="1" ht="36" hidden="1" customHeight="1">
      <c r="B89" s="317" t="s">
        <v>154</v>
      </c>
      <c r="C89" s="317"/>
      <c r="D89" s="317"/>
      <c r="E89" s="317"/>
      <c r="F89" s="317"/>
      <c r="G89" s="317"/>
      <c r="H89" s="317"/>
      <c r="I89" s="317"/>
      <c r="J89" s="317"/>
      <c r="K89" s="317"/>
      <c r="L89" s="317"/>
      <c r="M89" s="317"/>
      <c r="N89" s="317"/>
      <c r="O89" s="317"/>
      <c r="P89" s="317"/>
      <c r="Q89" s="317"/>
      <c r="R89" s="317"/>
      <c r="S89" s="317"/>
      <c r="T89" s="317"/>
      <c r="U89" s="317"/>
      <c r="V89" s="318"/>
      <c r="W89" s="318"/>
      <c r="X89" s="318"/>
      <c r="Y89" s="318"/>
      <c r="Z89" s="318"/>
      <c r="AA89" s="300"/>
      <c r="AB89" s="300"/>
      <c r="AC89" s="300"/>
      <c r="AD89" s="300"/>
      <c r="AE89" s="300"/>
      <c r="AF89" s="300"/>
      <c r="AG89" s="300"/>
      <c r="AH89" s="300"/>
    </row>
    <row r="90" spans="2:34" s="285" customFormat="1" ht="36" hidden="1" customHeight="1">
      <c r="B90" s="317"/>
      <c r="C90" s="317"/>
      <c r="D90" s="317"/>
      <c r="E90" s="317"/>
      <c r="F90" s="317"/>
      <c r="G90" s="317"/>
      <c r="H90" s="317"/>
      <c r="I90" s="317"/>
      <c r="J90" s="317"/>
      <c r="K90" s="317"/>
      <c r="L90" s="317"/>
      <c r="M90" s="317"/>
      <c r="N90" s="317"/>
      <c r="O90" s="317"/>
      <c r="P90" s="317"/>
      <c r="Q90" s="317"/>
      <c r="R90" s="317"/>
      <c r="S90" s="317"/>
      <c r="T90" s="317"/>
      <c r="U90" s="317"/>
      <c r="V90" s="318"/>
      <c r="W90" s="318"/>
      <c r="X90" s="318"/>
      <c r="Y90" s="318"/>
      <c r="Z90" s="318"/>
      <c r="AA90" s="300"/>
      <c r="AB90" s="300"/>
      <c r="AC90" s="300"/>
      <c r="AD90" s="300"/>
      <c r="AE90" s="300"/>
      <c r="AF90" s="300"/>
      <c r="AG90" s="300"/>
      <c r="AH90" s="300"/>
    </row>
    <row r="91" spans="2:34" s="285" customFormat="1" ht="36" hidden="1" customHeight="1">
      <c r="B91" s="317"/>
      <c r="C91" s="317"/>
      <c r="D91" s="317"/>
      <c r="E91" s="317"/>
      <c r="F91" s="317"/>
      <c r="G91" s="317"/>
      <c r="H91" s="317"/>
      <c r="I91" s="317"/>
      <c r="J91" s="317"/>
      <c r="K91" s="317"/>
      <c r="L91" s="317"/>
      <c r="M91" s="317"/>
      <c r="N91" s="317"/>
      <c r="O91" s="317"/>
      <c r="P91" s="317"/>
      <c r="Q91" s="317"/>
      <c r="R91" s="317"/>
      <c r="S91" s="317"/>
      <c r="T91" s="317"/>
      <c r="U91" s="317"/>
      <c r="V91" s="318"/>
      <c r="W91" s="318"/>
      <c r="X91" s="318"/>
      <c r="Y91" s="318"/>
      <c r="Z91" s="318"/>
      <c r="AA91" s="300"/>
      <c r="AB91" s="300"/>
      <c r="AC91" s="300"/>
      <c r="AD91" s="300"/>
      <c r="AE91" s="300"/>
      <c r="AF91" s="300"/>
      <c r="AG91" s="300"/>
      <c r="AH91" s="300"/>
    </row>
    <row r="92" spans="2:34" s="285" customFormat="1" ht="36" hidden="1" customHeight="1">
      <c r="B92" s="317"/>
      <c r="C92" s="317"/>
      <c r="D92" s="317"/>
      <c r="E92" s="317"/>
      <c r="F92" s="317"/>
      <c r="G92" s="317"/>
      <c r="H92" s="317"/>
      <c r="I92" s="317"/>
      <c r="J92" s="317"/>
      <c r="K92" s="317"/>
      <c r="L92" s="317"/>
      <c r="M92" s="317"/>
      <c r="N92" s="317"/>
      <c r="O92" s="317"/>
      <c r="P92" s="317"/>
      <c r="Q92" s="317"/>
      <c r="R92" s="317"/>
      <c r="S92" s="317"/>
      <c r="T92" s="317"/>
      <c r="U92" s="317"/>
      <c r="V92" s="318"/>
      <c r="W92" s="318"/>
      <c r="X92" s="318"/>
      <c r="Y92" s="318"/>
      <c r="Z92" s="318"/>
      <c r="AA92" s="300"/>
      <c r="AB92" s="300"/>
      <c r="AC92" s="300"/>
      <c r="AD92" s="300"/>
      <c r="AE92" s="300"/>
      <c r="AF92" s="300"/>
      <c r="AG92" s="300"/>
      <c r="AH92" s="300"/>
    </row>
    <row r="93" spans="2:34" s="285" customFormat="1" ht="36" hidden="1" customHeight="1">
      <c r="B93" s="317"/>
      <c r="C93" s="317"/>
      <c r="D93" s="317"/>
      <c r="E93" s="317"/>
      <c r="F93" s="317"/>
      <c r="G93" s="317"/>
      <c r="H93" s="317"/>
      <c r="I93" s="317"/>
      <c r="J93" s="317"/>
      <c r="K93" s="317"/>
      <c r="L93" s="317"/>
      <c r="M93" s="317"/>
      <c r="N93" s="317"/>
      <c r="O93" s="317"/>
      <c r="P93" s="317"/>
      <c r="Q93" s="317"/>
      <c r="R93" s="317"/>
      <c r="S93" s="317"/>
      <c r="T93" s="317"/>
      <c r="U93" s="317"/>
      <c r="V93" s="318"/>
      <c r="W93" s="318"/>
      <c r="X93" s="318"/>
      <c r="Y93" s="318"/>
      <c r="Z93" s="318"/>
      <c r="AA93" s="300"/>
      <c r="AB93" s="300"/>
      <c r="AC93" s="300"/>
      <c r="AD93" s="300"/>
      <c r="AE93" s="300"/>
      <c r="AF93" s="300"/>
      <c r="AG93" s="300"/>
      <c r="AH93" s="300"/>
    </row>
    <row r="94" spans="2:34" s="285" customFormat="1" ht="36" hidden="1" customHeight="1">
      <c r="B94" s="317"/>
      <c r="C94" s="317"/>
      <c r="D94" s="317"/>
      <c r="E94" s="317"/>
      <c r="F94" s="317"/>
      <c r="G94" s="317"/>
      <c r="H94" s="317"/>
      <c r="I94" s="317"/>
      <c r="J94" s="317"/>
      <c r="K94" s="317"/>
      <c r="L94" s="317"/>
      <c r="M94" s="317"/>
      <c r="N94" s="317"/>
      <c r="O94" s="317"/>
      <c r="P94" s="317"/>
      <c r="Q94" s="317"/>
      <c r="R94" s="317"/>
      <c r="S94" s="317"/>
      <c r="T94" s="317"/>
      <c r="U94" s="317"/>
      <c r="V94" s="318"/>
      <c r="W94" s="318"/>
      <c r="X94" s="318"/>
      <c r="Y94" s="318"/>
      <c r="Z94" s="318"/>
      <c r="AA94" s="300"/>
      <c r="AB94" s="300"/>
      <c r="AC94" s="300"/>
      <c r="AD94" s="300"/>
      <c r="AE94" s="300"/>
      <c r="AF94" s="300"/>
      <c r="AG94" s="300"/>
      <c r="AH94" s="300"/>
    </row>
    <row r="95" spans="2:34" s="285" customFormat="1" ht="36" hidden="1" customHeight="1">
      <c r="B95" s="317"/>
      <c r="C95" s="317"/>
      <c r="D95" s="317"/>
      <c r="E95" s="317"/>
      <c r="F95" s="317"/>
      <c r="G95" s="317"/>
      <c r="H95" s="317"/>
      <c r="I95" s="317"/>
      <c r="J95" s="317"/>
      <c r="K95" s="317"/>
      <c r="L95" s="317"/>
      <c r="M95" s="317"/>
      <c r="N95" s="317"/>
      <c r="O95" s="317"/>
      <c r="P95" s="317"/>
      <c r="Q95" s="317"/>
      <c r="R95" s="317"/>
      <c r="S95" s="317"/>
      <c r="T95" s="317"/>
      <c r="U95" s="317"/>
      <c r="V95" s="318"/>
      <c r="W95" s="318"/>
      <c r="X95" s="318"/>
      <c r="Y95" s="318"/>
      <c r="Z95" s="318"/>
      <c r="AA95" s="300"/>
      <c r="AB95" s="300"/>
      <c r="AC95" s="300"/>
      <c r="AD95" s="300"/>
      <c r="AE95" s="300"/>
      <c r="AF95" s="300"/>
      <c r="AG95" s="300"/>
      <c r="AH95" s="300"/>
    </row>
    <row r="96" spans="2:34" s="285" customFormat="1" ht="36" hidden="1" customHeight="1">
      <c r="B96" s="317"/>
      <c r="C96" s="317"/>
      <c r="D96" s="317"/>
      <c r="E96" s="317"/>
      <c r="F96" s="317"/>
      <c r="G96" s="317"/>
      <c r="H96" s="317"/>
      <c r="I96" s="317"/>
      <c r="J96" s="317"/>
      <c r="K96" s="317"/>
      <c r="L96" s="317"/>
      <c r="M96" s="317"/>
      <c r="N96" s="317"/>
      <c r="O96" s="317"/>
      <c r="P96" s="317"/>
      <c r="Q96" s="317"/>
      <c r="R96" s="317"/>
      <c r="S96" s="317"/>
      <c r="T96" s="317"/>
      <c r="U96" s="317"/>
      <c r="V96" s="318"/>
      <c r="W96" s="318"/>
      <c r="X96" s="318"/>
      <c r="Y96" s="318"/>
      <c r="Z96" s="318"/>
      <c r="AA96" s="300"/>
      <c r="AB96" s="300"/>
      <c r="AC96" s="300"/>
      <c r="AD96" s="300"/>
      <c r="AE96" s="300"/>
      <c r="AF96" s="300"/>
      <c r="AG96" s="300"/>
      <c r="AH96" s="300"/>
    </row>
    <row r="97" spans="2:34" s="285" customFormat="1" ht="36" hidden="1" customHeight="1">
      <c r="B97" s="317"/>
      <c r="C97" s="317"/>
      <c r="D97" s="317"/>
      <c r="E97" s="317"/>
      <c r="F97" s="317"/>
      <c r="G97" s="317"/>
      <c r="H97" s="317"/>
      <c r="I97" s="317"/>
      <c r="J97" s="317"/>
      <c r="K97" s="317"/>
      <c r="L97" s="317"/>
      <c r="M97" s="317"/>
      <c r="N97" s="317"/>
      <c r="O97" s="317"/>
      <c r="P97" s="317"/>
      <c r="Q97" s="317"/>
      <c r="R97" s="317"/>
      <c r="S97" s="317"/>
      <c r="T97" s="317"/>
      <c r="U97" s="317"/>
      <c r="V97" s="318"/>
      <c r="W97" s="318"/>
      <c r="X97" s="318"/>
      <c r="Y97" s="318"/>
      <c r="Z97" s="318"/>
      <c r="AA97" s="300"/>
      <c r="AB97" s="300"/>
      <c r="AC97" s="300"/>
      <c r="AD97" s="300"/>
      <c r="AE97" s="300"/>
      <c r="AF97" s="300"/>
      <c r="AG97" s="300"/>
      <c r="AH97" s="300"/>
    </row>
    <row r="98" spans="2:34" s="285" customFormat="1" ht="36" hidden="1" customHeight="1">
      <c r="B98" s="317"/>
      <c r="C98" s="317"/>
      <c r="D98" s="317"/>
      <c r="E98" s="317"/>
      <c r="F98" s="317"/>
      <c r="G98" s="317"/>
      <c r="H98" s="317"/>
      <c r="I98" s="317"/>
      <c r="J98" s="317"/>
      <c r="K98" s="317"/>
      <c r="L98" s="317"/>
      <c r="M98" s="317"/>
      <c r="N98" s="317"/>
      <c r="O98" s="317"/>
      <c r="P98" s="317"/>
      <c r="Q98" s="317"/>
      <c r="R98" s="317"/>
      <c r="S98" s="317"/>
      <c r="T98" s="317"/>
      <c r="U98" s="317"/>
      <c r="V98" s="318"/>
      <c r="W98" s="318"/>
      <c r="X98" s="318"/>
      <c r="Y98" s="318"/>
      <c r="Z98" s="318"/>
      <c r="AA98" s="300"/>
      <c r="AB98" s="300"/>
      <c r="AC98" s="300"/>
      <c r="AD98" s="300"/>
      <c r="AE98" s="300"/>
      <c r="AF98" s="300"/>
      <c r="AG98" s="300"/>
      <c r="AH98" s="300"/>
    </row>
    <row r="99" spans="2:34" s="285" customFormat="1" ht="36" hidden="1" customHeight="1">
      <c r="B99" s="317"/>
      <c r="C99" s="317"/>
      <c r="D99" s="317"/>
      <c r="E99" s="317"/>
      <c r="F99" s="317"/>
      <c r="G99" s="317"/>
      <c r="H99" s="317"/>
      <c r="I99" s="317"/>
      <c r="J99" s="317"/>
      <c r="K99" s="317"/>
      <c r="L99" s="317"/>
      <c r="M99" s="317"/>
      <c r="N99" s="317"/>
      <c r="O99" s="317"/>
      <c r="P99" s="317"/>
      <c r="Q99" s="317"/>
      <c r="R99" s="317"/>
      <c r="S99" s="317"/>
      <c r="T99" s="317"/>
      <c r="U99" s="317"/>
      <c r="V99" s="318"/>
      <c r="W99" s="318"/>
      <c r="X99" s="318"/>
      <c r="Y99" s="318"/>
      <c r="Z99" s="318"/>
      <c r="AA99" s="300"/>
      <c r="AB99" s="300"/>
      <c r="AC99" s="300"/>
      <c r="AD99" s="300"/>
      <c r="AE99" s="300"/>
      <c r="AF99" s="300"/>
      <c r="AG99" s="300"/>
      <c r="AH99" s="300"/>
    </row>
    <row r="100" spans="2:34" s="285" customFormat="1" ht="36" hidden="1" customHeight="1">
      <c r="B100" s="317"/>
      <c r="C100" s="317"/>
      <c r="D100" s="317"/>
      <c r="E100" s="317"/>
      <c r="F100" s="317"/>
      <c r="G100" s="317"/>
      <c r="H100" s="317"/>
      <c r="I100" s="317"/>
      <c r="J100" s="317"/>
      <c r="K100" s="317"/>
      <c r="L100" s="317"/>
      <c r="M100" s="317"/>
      <c r="N100" s="317"/>
      <c r="O100" s="317"/>
      <c r="P100" s="317"/>
      <c r="Q100" s="317"/>
      <c r="R100" s="317"/>
      <c r="S100" s="317"/>
      <c r="T100" s="317"/>
      <c r="U100" s="317"/>
      <c r="V100" s="318"/>
      <c r="W100" s="318"/>
      <c r="X100" s="318"/>
      <c r="Y100" s="318"/>
      <c r="Z100" s="318"/>
      <c r="AA100" s="300"/>
      <c r="AB100" s="300"/>
      <c r="AC100" s="300"/>
      <c r="AD100" s="300"/>
      <c r="AE100" s="300"/>
      <c r="AF100" s="300"/>
      <c r="AG100" s="300"/>
      <c r="AH100" s="300"/>
    </row>
    <row r="101" spans="2:34" s="285" customFormat="1" ht="36" hidden="1" customHeight="1">
      <c r="B101" s="317"/>
      <c r="C101" s="317"/>
      <c r="D101" s="317"/>
      <c r="E101" s="317"/>
      <c r="F101" s="317"/>
      <c r="G101" s="317"/>
      <c r="H101" s="317"/>
      <c r="I101" s="317"/>
      <c r="J101" s="317"/>
      <c r="K101" s="317"/>
      <c r="L101" s="317"/>
      <c r="M101" s="317"/>
      <c r="N101" s="317"/>
      <c r="O101" s="317"/>
      <c r="P101" s="317"/>
      <c r="Q101" s="317"/>
      <c r="R101" s="317"/>
      <c r="S101" s="317"/>
      <c r="T101" s="317"/>
      <c r="U101" s="317"/>
      <c r="V101" s="318"/>
      <c r="W101" s="318"/>
      <c r="X101" s="318"/>
      <c r="Y101" s="318"/>
      <c r="Z101" s="318"/>
      <c r="AA101" s="300"/>
      <c r="AB101" s="300"/>
      <c r="AC101" s="300"/>
      <c r="AD101" s="300"/>
      <c r="AE101" s="300"/>
      <c r="AF101" s="300"/>
      <c r="AG101" s="300"/>
      <c r="AH101" s="300"/>
    </row>
    <row r="102" spans="2:34" s="285" customFormat="1" ht="36" hidden="1" customHeight="1">
      <c r="B102" s="317"/>
      <c r="C102" s="317"/>
      <c r="D102" s="317"/>
      <c r="E102" s="317"/>
      <c r="F102" s="317"/>
      <c r="G102" s="317"/>
      <c r="H102" s="317"/>
      <c r="I102" s="317"/>
      <c r="J102" s="317"/>
      <c r="K102" s="317"/>
      <c r="L102" s="317"/>
      <c r="M102" s="317"/>
      <c r="N102" s="317"/>
      <c r="O102" s="317"/>
      <c r="P102" s="317"/>
      <c r="Q102" s="317"/>
      <c r="R102" s="317"/>
      <c r="S102" s="317"/>
      <c r="T102" s="317"/>
      <c r="U102" s="317"/>
      <c r="V102" s="318"/>
      <c r="W102" s="318"/>
      <c r="X102" s="318"/>
      <c r="Y102" s="318"/>
      <c r="Z102" s="318"/>
      <c r="AA102" s="300"/>
      <c r="AB102" s="300"/>
      <c r="AC102" s="300"/>
      <c r="AD102" s="300"/>
      <c r="AE102" s="300"/>
      <c r="AF102" s="300"/>
      <c r="AG102" s="300"/>
      <c r="AH102" s="300"/>
    </row>
    <row r="103" spans="2:34" s="285" customFormat="1" ht="36" hidden="1" customHeight="1">
      <c r="B103" s="317"/>
      <c r="C103" s="317"/>
      <c r="D103" s="317"/>
      <c r="E103" s="317"/>
      <c r="F103" s="317"/>
      <c r="G103" s="317"/>
      <c r="H103" s="317"/>
      <c r="I103" s="317"/>
      <c r="J103" s="317"/>
      <c r="K103" s="317"/>
      <c r="L103" s="317"/>
      <c r="M103" s="317"/>
      <c r="N103" s="317"/>
      <c r="O103" s="317"/>
      <c r="P103" s="317"/>
      <c r="Q103" s="317"/>
      <c r="R103" s="317"/>
      <c r="S103" s="317"/>
      <c r="T103" s="317"/>
      <c r="U103" s="317"/>
      <c r="V103" s="318"/>
      <c r="W103" s="318"/>
      <c r="X103" s="318"/>
      <c r="Y103" s="318"/>
      <c r="Z103" s="318"/>
      <c r="AA103" s="300"/>
      <c r="AB103" s="300"/>
      <c r="AC103" s="300"/>
      <c r="AD103" s="300"/>
      <c r="AE103" s="300"/>
      <c r="AF103" s="300"/>
      <c r="AG103" s="300"/>
      <c r="AH103" s="300"/>
    </row>
    <row r="104" spans="2:34" s="285" customFormat="1" ht="36" hidden="1" customHeight="1">
      <c r="B104" s="317"/>
      <c r="C104" s="317"/>
      <c r="D104" s="317"/>
      <c r="E104" s="317"/>
      <c r="F104" s="317"/>
      <c r="G104" s="317"/>
      <c r="H104" s="317"/>
      <c r="I104" s="317"/>
      <c r="J104" s="317"/>
      <c r="K104" s="317"/>
      <c r="L104" s="317"/>
      <c r="M104" s="317"/>
      <c r="N104" s="317"/>
      <c r="O104" s="317"/>
      <c r="P104" s="317"/>
      <c r="Q104" s="317"/>
      <c r="R104" s="317"/>
      <c r="S104" s="317"/>
      <c r="T104" s="317"/>
      <c r="U104" s="317"/>
      <c r="V104" s="318"/>
      <c r="W104" s="318"/>
      <c r="X104" s="318"/>
      <c r="Y104" s="318"/>
      <c r="Z104" s="318"/>
      <c r="AA104" s="300"/>
      <c r="AB104" s="300"/>
      <c r="AC104" s="300"/>
      <c r="AD104" s="300"/>
      <c r="AE104" s="300"/>
      <c r="AF104" s="300"/>
      <c r="AG104" s="300"/>
      <c r="AH104" s="300"/>
    </row>
    <row r="105" spans="2:34" s="300" customFormat="1" ht="36" hidden="1" customHeight="1"/>
    <row r="106" spans="2:34" ht="6" hidden="1" customHeight="1"/>
    <row r="107" spans="2:34" hidden="1"/>
    <row r="108" spans="2:34" hidden="1"/>
    <row r="109" spans="2:34" hidden="1"/>
    <row r="110" spans="2:34" hidden="1"/>
    <row r="111" spans="2:34" hidden="1"/>
    <row r="112" spans="2:34"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sheetData>
  <sheetProtection sheet="1" objects="1" scenarios="1" formatCells="0" selectLockedCells="1"/>
  <mergeCells count="127">
    <mergeCell ref="A6:Z6"/>
    <mergeCell ref="B19:C19"/>
    <mergeCell ref="D19:N19"/>
    <mergeCell ref="O19:P19"/>
    <mergeCell ref="A21:Z21"/>
    <mergeCell ref="B23:C23"/>
    <mergeCell ref="D23:Z23"/>
    <mergeCell ref="A23:A26"/>
    <mergeCell ref="B22:Z22"/>
    <mergeCell ref="J24:K24"/>
    <mergeCell ref="M24:N24"/>
    <mergeCell ref="D24:E24"/>
    <mergeCell ref="V24:X24"/>
    <mergeCell ref="V25:X25"/>
    <mergeCell ref="B26:C26"/>
    <mergeCell ref="Y26:Z26"/>
    <mergeCell ref="O18:P18"/>
    <mergeCell ref="A15:Z15"/>
    <mergeCell ref="A17:A20"/>
    <mergeCell ref="Q18:Z18"/>
    <mergeCell ref="Q19:Z19"/>
    <mergeCell ref="B20:C20"/>
    <mergeCell ref="D20:N20"/>
    <mergeCell ref="B18:C18"/>
    <mergeCell ref="B66:Z66"/>
    <mergeCell ref="B69:Z69"/>
    <mergeCell ref="K31:U31"/>
    <mergeCell ref="B31:J31"/>
    <mergeCell ref="Q25:S25"/>
    <mergeCell ref="O24:P25"/>
    <mergeCell ref="T24:U25"/>
    <mergeCell ref="D26:X26"/>
    <mergeCell ref="B29:Z29"/>
    <mergeCell ref="B32:J32"/>
    <mergeCell ref="K32:U32"/>
    <mergeCell ref="B28:Z28"/>
    <mergeCell ref="D25:E25"/>
    <mergeCell ref="G25:H25"/>
    <mergeCell ref="V31:Z31"/>
    <mergeCell ref="B30:Z30"/>
    <mergeCell ref="A27:Z27"/>
    <mergeCell ref="A29:A31"/>
    <mergeCell ref="B38:Z38"/>
    <mergeCell ref="B39:Z39"/>
    <mergeCell ref="B57:Z57"/>
    <mergeCell ref="B58:Z58"/>
    <mergeCell ref="B60:Z60"/>
    <mergeCell ref="B61:Z61"/>
    <mergeCell ref="B85:Z85"/>
    <mergeCell ref="B72:Z72"/>
    <mergeCell ref="B75:Z75"/>
    <mergeCell ref="B76:Z76"/>
    <mergeCell ref="B78:Z78"/>
    <mergeCell ref="B79:Z79"/>
    <mergeCell ref="B81:Z81"/>
    <mergeCell ref="B82:Z82"/>
    <mergeCell ref="B67:Z67"/>
    <mergeCell ref="B73:Z73"/>
    <mergeCell ref="B84:Z84"/>
    <mergeCell ref="B70:Z70"/>
    <mergeCell ref="V32:Z32"/>
    <mergeCell ref="B35:Z35"/>
    <mergeCell ref="B36:Z36"/>
    <mergeCell ref="B45:Z45"/>
    <mergeCell ref="B52:Z52"/>
    <mergeCell ref="B51:Z51"/>
    <mergeCell ref="B54:Z54"/>
    <mergeCell ref="B55:Z55"/>
    <mergeCell ref="B46:Z46"/>
    <mergeCell ref="B48:Z48"/>
    <mergeCell ref="B49:Z49"/>
    <mergeCell ref="B41:Z41"/>
    <mergeCell ref="B42:Z42"/>
    <mergeCell ref="D18:N18"/>
    <mergeCell ref="B17:C17"/>
    <mergeCell ref="D17:N17"/>
    <mergeCell ref="O17:P17"/>
    <mergeCell ref="B24:C25"/>
    <mergeCell ref="Y24:Z25"/>
    <mergeCell ref="M25:N25"/>
    <mergeCell ref="J25:K25"/>
    <mergeCell ref="G24:H24"/>
    <mergeCell ref="O20:P20"/>
    <mergeCell ref="Q20:Z20"/>
    <mergeCell ref="Q24:S24"/>
    <mergeCell ref="Q17:Z17"/>
    <mergeCell ref="V2:Z2"/>
    <mergeCell ref="V4:Z4"/>
    <mergeCell ref="V5:Z5"/>
    <mergeCell ref="O13:P13"/>
    <mergeCell ref="O11:P11"/>
    <mergeCell ref="O2:P2"/>
    <mergeCell ref="O12:P12"/>
    <mergeCell ref="Q5:T5"/>
    <mergeCell ref="V3:Y3"/>
    <mergeCell ref="Q4:T4"/>
    <mergeCell ref="Q3:S3"/>
    <mergeCell ref="T3:U3"/>
    <mergeCell ref="O3:P3"/>
    <mergeCell ref="O4:P4"/>
    <mergeCell ref="Q13:Z13"/>
    <mergeCell ref="O10:P10"/>
    <mergeCell ref="Q12:Z12"/>
    <mergeCell ref="Q11:Z11"/>
    <mergeCell ref="Q2:S2"/>
    <mergeCell ref="T2:U2"/>
    <mergeCell ref="B9:Z9"/>
    <mergeCell ref="O5:P5"/>
    <mergeCell ref="Q10:Z10"/>
    <mergeCell ref="A8:Z8"/>
    <mergeCell ref="B7:E7"/>
    <mergeCell ref="D14:N14"/>
    <mergeCell ref="A10:A14"/>
    <mergeCell ref="B16:Z16"/>
    <mergeCell ref="B10:C10"/>
    <mergeCell ref="B11:C11"/>
    <mergeCell ref="B14:C14"/>
    <mergeCell ref="D10:N10"/>
    <mergeCell ref="D11:N11"/>
    <mergeCell ref="B13:C13"/>
    <mergeCell ref="D13:N13"/>
    <mergeCell ref="B12:C12"/>
    <mergeCell ref="D12:N12"/>
    <mergeCell ref="O14:P14"/>
    <mergeCell ref="Q14:Z14"/>
    <mergeCell ref="F7:R7"/>
    <mergeCell ref="S7:Z7"/>
  </mergeCells>
  <phoneticPr fontId="3" type="noConversion"/>
  <pageMargins left="0.25" right="0.25" top="0.5" bottom="0.5" header="0.25" footer="0.25"/>
  <pageSetup orientation="portrait" horizontalDpi="4294967292" verticalDpi="4294967292"/>
  <headerFooter>
    <oddHeader xml:space="preserve">&amp;L&amp;"Calibri,Regular"&amp;K000000&amp;G&amp;C&amp;"Menlo Regular,Regular"&amp;6&amp;K000000★★★&amp;"-,Regular" ATTACH AGREEMENT HERE &amp;"Menlo Regular,Regular"★★★&amp;"-,Regular" ATTACH AGREEMENT HERE &amp;"Menlo Regular,Regular"★★★&amp;"-,Regular" ATTACH AGREEMENT HERE </oddHeader>
    <oddFooter>&amp;R&amp;6&amp;K000000Printed: &amp;D, &amp;T - Page &amp;P of &amp;N</oddFooter>
  </headerFooter>
  <rowBreaks count="1" manualBreakCount="1">
    <brk id="105" max="16383" man="1"/>
  </rowBreaks>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63500</xdr:colOff>
                    <xdr:row>22</xdr:row>
                    <xdr:rowOff>38100</xdr:rowOff>
                  </from>
                  <to>
                    <xdr:col>6</xdr:col>
                    <xdr:colOff>63500</xdr:colOff>
                    <xdr:row>22</xdr:row>
                    <xdr:rowOff>292100</xdr:rowOff>
                  </to>
                </anchor>
              </controlPr>
            </control>
          </mc:Choice>
          <mc:Fallback/>
        </mc:AlternateContent>
        <mc:AlternateContent xmlns:mc="http://schemas.openxmlformats.org/markup-compatibility/2006">
          <mc:Choice Requires="x14">
            <control shapeId="2050" r:id="rId5" name="Option Button 2">
              <controlPr defaultSize="0" autoFill="0" autoLine="0" autoPict="0">
                <anchor moveWithCells="1">
                  <from>
                    <xdr:col>6</xdr:col>
                    <xdr:colOff>88900</xdr:colOff>
                    <xdr:row>22</xdr:row>
                    <xdr:rowOff>38100</xdr:rowOff>
                  </from>
                  <to>
                    <xdr:col>9</xdr:col>
                    <xdr:colOff>88900</xdr:colOff>
                    <xdr:row>22</xdr:row>
                    <xdr:rowOff>292100</xdr:rowOff>
                  </to>
                </anchor>
              </controlPr>
            </control>
          </mc:Choice>
          <mc:Fallback/>
        </mc:AlternateContent>
        <mc:AlternateContent xmlns:mc="http://schemas.openxmlformats.org/markup-compatibility/2006">
          <mc:Choice Requires="x14">
            <control shapeId="2051" r:id="rId6" name="Option Button 3">
              <controlPr defaultSize="0" autoFill="0" autoLine="0" autoPict="0">
                <anchor moveWithCells="1">
                  <from>
                    <xdr:col>9</xdr:col>
                    <xdr:colOff>76200</xdr:colOff>
                    <xdr:row>22</xdr:row>
                    <xdr:rowOff>38100</xdr:rowOff>
                  </from>
                  <to>
                    <xdr:col>13</xdr:col>
                    <xdr:colOff>38100</xdr:colOff>
                    <xdr:row>22</xdr:row>
                    <xdr:rowOff>292100</xdr:rowOff>
                  </to>
                </anchor>
              </controlPr>
            </control>
          </mc:Choice>
          <mc:Fallback/>
        </mc:AlternateContent>
        <mc:AlternateContent xmlns:mc="http://schemas.openxmlformats.org/markup-compatibility/2006">
          <mc:Choice Requires="x14">
            <control shapeId="2052" r:id="rId7" name="Option Button 4">
              <controlPr defaultSize="0" autoFill="0" autoLine="0" autoPict="0">
                <anchor moveWithCells="1">
                  <from>
                    <xdr:col>13</xdr:col>
                    <xdr:colOff>241300</xdr:colOff>
                    <xdr:row>22</xdr:row>
                    <xdr:rowOff>38100</xdr:rowOff>
                  </from>
                  <to>
                    <xdr:col>15</xdr:col>
                    <xdr:colOff>304800</xdr:colOff>
                    <xdr:row>22</xdr:row>
                    <xdr:rowOff>292100</xdr:rowOff>
                  </to>
                </anchor>
              </controlPr>
            </control>
          </mc:Choice>
          <mc:Fallback/>
        </mc:AlternateContent>
        <mc:AlternateContent xmlns:mc="http://schemas.openxmlformats.org/markup-compatibility/2006">
          <mc:Choice Requires="x14">
            <control shapeId="2055" r:id="rId8" name="Option Button 7">
              <controlPr defaultSize="0" print="0" autoFill="0" autoLine="0" autoPict="0">
                <anchor moveWithCells="1">
                  <from>
                    <xdr:col>16</xdr:col>
                    <xdr:colOff>203200</xdr:colOff>
                    <xdr:row>22</xdr:row>
                    <xdr:rowOff>38100</xdr:rowOff>
                  </from>
                  <to>
                    <xdr:col>19</xdr:col>
                    <xdr:colOff>12700</xdr:colOff>
                    <xdr:row>22</xdr:row>
                    <xdr:rowOff>292100</xdr:rowOff>
                  </to>
                </anchor>
              </controlPr>
            </control>
          </mc:Choice>
          <mc:Fallback/>
        </mc:AlternateContent>
      </controls>
    </mc:Choice>
    <mc:Fallback/>
  </mc:AlternateContent>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theme="9"/>
  </sheetPr>
  <dimension ref="A1:AJ23"/>
  <sheetViews>
    <sheetView view="pageLayout" workbookViewId="0">
      <selection activeCell="A21" sqref="A21:U21"/>
    </sheetView>
  </sheetViews>
  <sheetFormatPr baseColWidth="10" defaultRowHeight="15" x14ac:dyDescent="0"/>
  <cols>
    <col min="1" max="1" width="0.5" customWidth="1"/>
    <col min="2" max="25" width="3.83203125" customWidth="1"/>
    <col min="26" max="26" width="0.5" style="3" customWidth="1"/>
  </cols>
  <sheetData>
    <row r="1" spans="1:36" ht="3" customHeight="1" thickBot="1">
      <c r="A1" s="722"/>
      <c r="B1" s="722"/>
      <c r="C1" s="722"/>
      <c r="D1" s="722"/>
      <c r="E1" s="722"/>
      <c r="F1" s="722"/>
      <c r="G1" s="722"/>
      <c r="H1" s="722"/>
      <c r="I1" s="722"/>
      <c r="J1" s="722"/>
      <c r="K1" s="722"/>
      <c r="L1" s="722"/>
      <c r="M1" s="722"/>
      <c r="N1" s="722"/>
      <c r="O1" s="722"/>
      <c r="P1" s="722"/>
      <c r="Q1" s="722"/>
      <c r="R1" s="722"/>
      <c r="S1" s="722"/>
      <c r="T1" s="722"/>
      <c r="U1" s="722"/>
      <c r="V1" s="722"/>
      <c r="W1" s="722"/>
      <c r="X1" s="722"/>
      <c r="Y1" s="722"/>
      <c r="Z1" s="722"/>
    </row>
    <row r="2" spans="1:36" s="328" customFormat="1" ht="20" customHeight="1" thickBot="1">
      <c r="A2" s="326"/>
      <c r="B2" s="732" t="s">
        <v>157</v>
      </c>
      <c r="C2" s="733"/>
      <c r="D2" s="733"/>
      <c r="E2" s="733"/>
      <c r="F2" s="734" t="str">
        <f>IF(AGREEMENT!$D$13&gt;0,
(IF(AGREEMENT!$Q$13&gt;0,
("  "&amp;AGREEMENT!$D$13&amp;" ("&amp;AGREEMENT!$Q$13&amp;")"),
"  "&amp;AGREEMENT!$D$13&amp;""))," "&amp;AGREEMENT!$Q$13)</f>
        <v xml:space="preserve"> </v>
      </c>
      <c r="G2" s="734"/>
      <c r="H2" s="734"/>
      <c r="I2" s="734"/>
      <c r="J2" s="734"/>
      <c r="K2" s="734"/>
      <c r="L2" s="734"/>
      <c r="M2" s="734"/>
      <c r="N2" s="734"/>
      <c r="O2" s="734"/>
      <c r="P2" s="734"/>
      <c r="Q2" s="734"/>
      <c r="R2" s="734"/>
      <c r="S2" s="734"/>
      <c r="T2" s="735" t="str">
        <f>IF((COUNT(AGREEMENT!B22,AGREEMENT!B25:AA25))&gt;1,"S-"&amp;IF(AGREEMENT!$B22&gt;0,(CONCATENATE(TEXT('FACT 1'!$B$102,"yymmdd"),'FACT 1'!$F$102,'FACT 1'!$AC$102,AGREEMENT!Z126))," "),IF(AGREEMENT!$B22&gt;0,(CONCATENATE(TEXT('FACT 1'!$B$102,"yymmdd"),'FACT 1'!$F$102,'FACT 1'!$AC$102,AGREEMENT!Z126)),""))</f>
        <v>160621LRTCC</v>
      </c>
      <c r="U2" s="735"/>
      <c r="V2" s="735"/>
      <c r="W2" s="735"/>
      <c r="X2" s="735"/>
      <c r="Y2" s="736"/>
      <c r="Z2" s="326"/>
      <c r="AA2" s="327"/>
      <c r="AB2" s="327"/>
      <c r="AC2" s="327"/>
      <c r="AD2" s="327"/>
      <c r="AE2" s="327"/>
      <c r="AF2" s="327"/>
      <c r="AG2" s="327"/>
      <c r="AH2" s="327"/>
      <c r="AI2" s="327"/>
      <c r="AJ2" s="327"/>
    </row>
    <row r="3" spans="1:36" s="152" customFormat="1" ht="29" customHeight="1" thickBot="1">
      <c r="A3" s="151"/>
      <c r="B3" s="770" t="s">
        <v>194</v>
      </c>
      <c r="C3" s="770"/>
      <c r="D3" s="770"/>
      <c r="E3" s="770"/>
      <c r="F3" s="770"/>
      <c r="G3" s="770"/>
      <c r="H3" s="770"/>
      <c r="I3" s="770"/>
      <c r="J3" s="770"/>
      <c r="K3" s="770"/>
      <c r="L3" s="770"/>
      <c r="M3" s="770"/>
      <c r="N3" s="770"/>
      <c r="O3" s="770"/>
      <c r="P3" s="770"/>
      <c r="Q3" s="770"/>
      <c r="R3" s="770"/>
      <c r="S3" s="770"/>
      <c r="T3" s="770"/>
      <c r="U3" s="770"/>
      <c r="V3" s="770"/>
      <c r="W3" s="770"/>
      <c r="X3" s="770"/>
      <c r="Y3" s="770"/>
      <c r="AA3" s="73"/>
      <c r="AB3" s="73"/>
      <c r="AC3" s="73"/>
      <c r="AD3" s="73"/>
      <c r="AE3" s="73"/>
      <c r="AF3" s="73"/>
      <c r="AG3" s="73"/>
      <c r="AH3" s="73"/>
      <c r="AI3" s="73"/>
      <c r="AJ3" s="73"/>
    </row>
    <row r="4" spans="1:36" s="322" customFormat="1" ht="39" customHeight="1" thickTop="1">
      <c r="A4" s="321"/>
      <c r="B4" s="767" t="str">
        <f>IF(AGREEMENT!$Q$13&gt;0,AGREEMENT!$Q$13,"primary contact?")</f>
        <v>primary contact?</v>
      </c>
      <c r="C4" s="768"/>
      <c r="D4" s="768"/>
      <c r="E4" s="768"/>
      <c r="F4" s="768"/>
      <c r="G4" s="768"/>
      <c r="H4" s="768"/>
      <c r="I4" s="768"/>
      <c r="J4" s="768"/>
      <c r="K4" s="768"/>
      <c r="L4" s="768"/>
      <c r="M4" s="768"/>
      <c r="N4" s="768"/>
      <c r="O4" s="768"/>
      <c r="P4" s="768"/>
      <c r="Q4" s="768"/>
      <c r="R4" s="768"/>
      <c r="S4" s="768"/>
      <c r="T4" s="768"/>
      <c r="U4" s="768"/>
      <c r="V4" s="768"/>
      <c r="W4" s="768"/>
      <c r="X4" s="768"/>
      <c r="Y4" s="769"/>
      <c r="AA4" s="323"/>
      <c r="AB4" s="323"/>
      <c r="AC4" s="323"/>
      <c r="AD4" s="323"/>
      <c r="AE4" s="323"/>
      <c r="AF4" s="323"/>
      <c r="AG4" s="323"/>
      <c r="AH4" s="323"/>
      <c r="AI4" s="323"/>
      <c r="AJ4" s="323"/>
    </row>
    <row r="5" spans="1:36" s="324" customFormat="1" ht="39" customHeight="1">
      <c r="B5" s="780" t="str">
        <f>IF(AGREEMENT!D13&gt;0,AGREEMENT!D13,"description...")</f>
        <v>description...</v>
      </c>
      <c r="C5" s="781"/>
      <c r="D5" s="781"/>
      <c r="E5" s="781"/>
      <c r="F5" s="781"/>
      <c r="G5" s="781"/>
      <c r="H5" s="781"/>
      <c r="I5" s="781"/>
      <c r="J5" s="781"/>
      <c r="K5" s="781"/>
      <c r="L5" s="781"/>
      <c r="M5" s="781"/>
      <c r="N5" s="781"/>
      <c r="O5" s="781"/>
      <c r="P5" s="781"/>
      <c r="Q5" s="781"/>
      <c r="R5" s="781"/>
      <c r="S5" s="781"/>
      <c r="T5" s="781"/>
      <c r="U5" s="781"/>
      <c r="V5" s="781"/>
      <c r="W5" s="781"/>
      <c r="X5" s="781"/>
      <c r="Y5" s="782"/>
      <c r="Z5" s="325" t="s">
        <v>167</v>
      </c>
      <c r="AA5" s="323"/>
      <c r="AB5" s="323"/>
      <c r="AC5" s="323"/>
      <c r="AD5" s="323"/>
      <c r="AE5" s="323"/>
      <c r="AF5" s="323"/>
      <c r="AG5" s="323"/>
      <c r="AH5" s="323"/>
      <c r="AI5" s="323"/>
      <c r="AJ5" s="323"/>
    </row>
    <row r="6" spans="1:36" s="324" customFormat="1" ht="39" customHeight="1">
      <c r="B6" s="741" t="str">
        <f>IF('FACT 1'!B19&gt;0,CONCATENATE((TEXT('FACT 1'!B19,"DDDD"))&amp;", "&amp;(TEXT('FACT 1'!B19,"MMMM"))&amp;" "&amp;(TEXT('FACT 1'!B19,"d"))&amp;", "&amp;(TEXT('FACT 1'!B19,"yyyy"))))</f>
        <v>Tuesday, June 21, 2016</v>
      </c>
      <c r="C6" s="742"/>
      <c r="D6" s="742"/>
      <c r="E6" s="742"/>
      <c r="F6" s="742"/>
      <c r="G6" s="742"/>
      <c r="H6" s="742"/>
      <c r="I6" s="742"/>
      <c r="J6" s="742"/>
      <c r="K6" s="742"/>
      <c r="L6" s="742"/>
      <c r="M6" s="742"/>
      <c r="N6" s="742"/>
      <c r="O6" s="742"/>
      <c r="P6" s="742"/>
      <c r="Q6" s="742"/>
      <c r="R6" s="742"/>
      <c r="S6" s="742"/>
      <c r="T6" s="742"/>
      <c r="U6" s="742"/>
      <c r="V6" s="742"/>
      <c r="W6" s="742"/>
      <c r="X6" s="742"/>
      <c r="Y6" s="743"/>
      <c r="Z6" s="325"/>
      <c r="AA6" s="323"/>
      <c r="AB6" s="323"/>
      <c r="AC6" s="323"/>
      <c r="AD6" s="323"/>
      <c r="AE6" s="323"/>
      <c r="AF6" s="323"/>
      <c r="AG6" s="323"/>
      <c r="AH6" s="323"/>
      <c r="AI6" s="323"/>
      <c r="AJ6" s="323"/>
    </row>
    <row r="7" spans="1:36" s="324" customFormat="1" ht="39" customHeight="1">
      <c r="B7" s="764" t="str">
        <f>IF('FACT 1'!F19&gt;-1,(TEXT('FACT 1'!F19,"h:mm am/pm"))&amp;" to "&amp;(TEXT('FACT 1'!J19,"h:mm am/pm")),"")</f>
        <v>12:30 PM to 3:30 PM</v>
      </c>
      <c r="C7" s="765"/>
      <c r="D7" s="765"/>
      <c r="E7" s="765"/>
      <c r="F7" s="765"/>
      <c r="G7" s="765"/>
      <c r="H7" s="765"/>
      <c r="I7" s="765"/>
      <c r="J7" s="765"/>
      <c r="K7" s="765"/>
      <c r="L7" s="765"/>
      <c r="M7" s="765"/>
      <c r="N7" s="765"/>
      <c r="O7" s="765"/>
      <c r="P7" s="765"/>
      <c r="Q7" s="765"/>
      <c r="R7" s="765"/>
      <c r="S7" s="765"/>
      <c r="T7" s="765"/>
      <c r="U7" s="765"/>
      <c r="V7" s="765"/>
      <c r="W7" s="765"/>
      <c r="X7" s="765"/>
      <c r="Y7" s="766"/>
      <c r="AA7" s="323"/>
      <c r="AB7" s="323"/>
      <c r="AC7" s="323"/>
      <c r="AD7" s="323"/>
      <c r="AE7" s="323"/>
      <c r="AF7" s="323"/>
      <c r="AG7" s="323"/>
      <c r="AH7" s="323"/>
      <c r="AI7" s="323"/>
      <c r="AJ7" s="323"/>
    </row>
    <row r="8" spans="1:36" s="324" customFormat="1" ht="39" customHeight="1">
      <c r="B8" s="759" t="str">
        <f>IF('FACT 1'!AB102=1,'FACT 1'!T92,IF('FACT 1'!AB102=2,'FACT 1'!T93,IF('FACT 1'!AB102=3,'FACT 1'!T94,IF('FACT 1'!AB102=4,'FACT 1'!T95,IF('FACT 1'!AB102=5,'FACT 1'!T96,IF('FACT 1'!AB102=6,'FACT 1'!T97,IF('FACT 1'!AB102=7,'FACT 1'!T98,IF('FACT 1'!AB102=8,'FACT 1'!T99,IF('FACT 1'!AB102=9,'FACT 1'!T100,"")))))))))</f>
        <v>rotunda</v>
      </c>
      <c r="C8" s="760"/>
      <c r="D8" s="760"/>
      <c r="E8" s="760"/>
      <c r="F8" s="760"/>
      <c r="G8" s="760"/>
      <c r="H8" s="760"/>
      <c r="I8" s="760"/>
      <c r="J8" s="760"/>
      <c r="K8" s="760"/>
      <c r="L8" s="760"/>
      <c r="M8" s="760"/>
      <c r="N8" s="760"/>
      <c r="O8" s="760"/>
      <c r="P8" s="760"/>
      <c r="Q8" s="760"/>
      <c r="R8" s="760"/>
      <c r="S8" s="760"/>
      <c r="T8" s="760"/>
      <c r="U8" s="760"/>
      <c r="V8" s="760"/>
      <c r="W8" s="760"/>
      <c r="X8" s="760"/>
      <c r="Y8" s="761"/>
      <c r="AA8" s="323"/>
      <c r="AB8" s="323"/>
      <c r="AC8" s="323"/>
      <c r="AD8" s="323"/>
      <c r="AE8" s="323"/>
      <c r="AF8" s="323"/>
      <c r="AG8" s="323"/>
      <c r="AH8" s="323"/>
      <c r="AI8" s="323"/>
      <c r="AJ8" s="323"/>
    </row>
    <row r="9" spans="1:36" s="324" customFormat="1" ht="39" customHeight="1">
      <c r="B9" s="759" t="str">
        <f>IF((COUNT(AGREEMENT!B22,AGREEMENT!B25:AA25))&gt;1,"event series - "&amp;"1 of "&amp;(COUNT(AGREEMENT!B22,AGREEMENT!B25:AA25)),"1 event")</f>
        <v>1 event</v>
      </c>
      <c r="C9" s="760"/>
      <c r="D9" s="760"/>
      <c r="E9" s="760"/>
      <c r="F9" s="760"/>
      <c r="G9" s="760"/>
      <c r="H9" s="760"/>
      <c r="I9" s="760"/>
      <c r="J9" s="760"/>
      <c r="K9" s="760"/>
      <c r="L9" s="760"/>
      <c r="M9" s="760"/>
      <c r="N9" s="760"/>
      <c r="O9" s="760"/>
      <c r="P9" s="760"/>
      <c r="Q9" s="760"/>
      <c r="R9" s="760"/>
      <c r="S9" s="760"/>
      <c r="T9" s="760"/>
      <c r="U9" s="760"/>
      <c r="V9" s="760"/>
      <c r="W9" s="760"/>
      <c r="X9" s="760"/>
      <c r="Y9" s="761"/>
      <c r="AA9" s="323"/>
      <c r="AB9" s="323"/>
      <c r="AC9" s="323"/>
      <c r="AD9" s="323"/>
      <c r="AE9" s="323"/>
      <c r="AF9" s="323"/>
      <c r="AG9" s="323"/>
      <c r="AH9" s="323"/>
      <c r="AI9" s="323"/>
      <c r="AJ9" s="323"/>
    </row>
    <row r="10" spans="1:36" s="324" customFormat="1" ht="39" customHeight="1">
      <c r="B10" s="764" t="str">
        <f>(AGREEMENT!R29-'FACT 1'!P104)&amp;" guest guarentee"</f>
        <v>18 guest guarentee</v>
      </c>
      <c r="C10" s="765"/>
      <c r="D10" s="765"/>
      <c r="E10" s="765"/>
      <c r="F10" s="765"/>
      <c r="G10" s="765"/>
      <c r="H10" s="765"/>
      <c r="I10" s="765"/>
      <c r="J10" s="765"/>
      <c r="K10" s="765"/>
      <c r="L10" s="765"/>
      <c r="M10" s="765"/>
      <c r="N10" s="765"/>
      <c r="O10" s="765"/>
      <c r="P10" s="765"/>
      <c r="Q10" s="765"/>
      <c r="R10" s="765"/>
      <c r="S10" s="765"/>
      <c r="T10" s="765"/>
      <c r="U10" s="765"/>
      <c r="V10" s="765"/>
      <c r="W10" s="765"/>
      <c r="X10" s="765"/>
      <c r="Y10" s="766"/>
      <c r="AA10" s="323"/>
      <c r="AB10" s="323"/>
      <c r="AC10" s="323"/>
      <c r="AD10" s="323"/>
      <c r="AE10" s="323"/>
      <c r="AF10" s="323"/>
      <c r="AG10" s="323"/>
      <c r="AH10" s="323"/>
      <c r="AI10" s="323"/>
      <c r="AJ10" s="323"/>
    </row>
    <row r="11" spans="1:36" s="324" customFormat="1" ht="39" customHeight="1">
      <c r="B11" s="756" t="str">
        <f>IF(AGREEMENT!Y126=5,"ucla purchase order",IF(AGREEMENT!Y126=4,"house account",IF(AGREEMENT!Y126=3,"cc authorization",IF(AGREEMENT!Y126=2,"credit card",IF(AGREEMENT!Y126=1,"approved check","")))))</f>
        <v>credit card</v>
      </c>
      <c r="C11" s="757"/>
      <c r="D11" s="757"/>
      <c r="E11" s="757"/>
      <c r="F11" s="757"/>
      <c r="G11" s="757"/>
      <c r="H11" s="757"/>
      <c r="I11" s="757"/>
      <c r="J11" s="757"/>
      <c r="K11" s="757"/>
      <c r="L11" s="757"/>
      <c r="M11" s="757"/>
      <c r="N11" s="757"/>
      <c r="O11" s="757"/>
      <c r="P11" s="757"/>
      <c r="Q11" s="757"/>
      <c r="R11" s="757"/>
      <c r="S11" s="757"/>
      <c r="T11" s="757"/>
      <c r="U11" s="757"/>
      <c r="V11" s="757"/>
      <c r="W11" s="757"/>
      <c r="X11" s="757"/>
      <c r="Y11" s="758"/>
      <c r="AA11" s="323"/>
      <c r="AB11" s="323"/>
      <c r="AC11" s="323"/>
      <c r="AD11" s="323"/>
      <c r="AE11" s="323"/>
      <c r="AF11" s="323"/>
      <c r="AG11" s="323"/>
      <c r="AH11" s="323"/>
      <c r="AI11" s="323"/>
      <c r="AJ11" s="323"/>
    </row>
    <row r="12" spans="1:36" s="108" customFormat="1" ht="29" customHeight="1" thickBot="1">
      <c r="A12" s="107"/>
      <c r="B12" s="723" t="s">
        <v>193</v>
      </c>
      <c r="C12" s="723"/>
      <c r="D12" s="723"/>
      <c r="E12" s="723"/>
      <c r="F12" s="723"/>
      <c r="G12" s="723"/>
      <c r="H12" s="723"/>
      <c r="I12" s="723"/>
      <c r="J12" s="723"/>
      <c r="K12" s="723"/>
      <c r="L12" s="723"/>
      <c r="M12" s="723"/>
      <c r="N12" s="723"/>
      <c r="O12" s="723"/>
      <c r="P12" s="723"/>
      <c r="Q12" s="723"/>
      <c r="R12" s="723"/>
      <c r="S12" s="723"/>
      <c r="T12" s="723"/>
      <c r="U12" s="723"/>
      <c r="V12" s="723"/>
      <c r="W12" s="723"/>
      <c r="X12" s="723"/>
      <c r="Y12" s="723"/>
      <c r="Z12" s="110"/>
      <c r="AA12" s="109"/>
      <c r="AB12" s="109"/>
      <c r="AC12" s="109"/>
      <c r="AD12" s="109"/>
      <c r="AE12" s="109"/>
      <c r="AF12" s="109"/>
      <c r="AG12" s="109"/>
      <c r="AH12" s="109"/>
      <c r="AI12" s="109"/>
      <c r="AJ12" s="109"/>
    </row>
    <row r="13" spans="1:36" ht="29" customHeight="1" thickTop="1">
      <c r="B13" s="750" t="s">
        <v>156</v>
      </c>
      <c r="C13" s="751"/>
      <c r="D13" s="751"/>
      <c r="E13" s="737" t="str">
        <f>IF(AGREEMENT!D14&gt;0,AGREEMENT!D14,"")</f>
        <v/>
      </c>
      <c r="F13" s="737"/>
      <c r="G13" s="737"/>
      <c r="H13" s="737"/>
      <c r="I13" s="737"/>
      <c r="J13" s="737"/>
      <c r="K13" s="737"/>
      <c r="L13" s="737"/>
      <c r="M13" s="738"/>
      <c r="N13" s="726" t="s">
        <v>190</v>
      </c>
      <c r="O13" s="727"/>
      <c r="P13" s="727"/>
      <c r="Q13" s="778" t="str">
        <f>IF(AGREEMENT!Q14&gt;0,AGREEMENT!Q14,"")</f>
        <v/>
      </c>
      <c r="R13" s="778"/>
      <c r="S13" s="778"/>
      <c r="T13" s="778"/>
      <c r="U13" s="778"/>
      <c r="V13" s="778"/>
      <c r="W13" s="778"/>
      <c r="X13" s="778"/>
      <c r="Y13" s="779"/>
      <c r="Z13" s="4"/>
    </row>
    <row r="14" spans="1:36" ht="29" customHeight="1">
      <c r="B14" s="728" t="s">
        <v>370</v>
      </c>
      <c r="C14" s="729"/>
      <c r="D14" s="729"/>
      <c r="E14" s="739" t="str">
        <f>IF(AGREEMENT!$Q$13&gt;0,AGREEMENT!$Q$13,"")</f>
        <v/>
      </c>
      <c r="F14" s="739"/>
      <c r="G14" s="739"/>
      <c r="H14" s="739"/>
      <c r="I14" s="739"/>
      <c r="J14" s="739"/>
      <c r="K14" s="739"/>
      <c r="L14" s="739"/>
      <c r="M14" s="740"/>
      <c r="N14" s="730" t="s">
        <v>191</v>
      </c>
      <c r="O14" s="731"/>
      <c r="P14" s="731"/>
      <c r="Q14" s="762" t="str">
        <f>IF(AGREEMENT!Q15&gt;0,AGREEMENT!Q15,"")</f>
        <v/>
      </c>
      <c r="R14" s="762"/>
      <c r="S14" s="762"/>
      <c r="T14" s="762"/>
      <c r="U14" s="762"/>
      <c r="V14" s="762"/>
      <c r="W14" s="762"/>
      <c r="X14" s="762"/>
      <c r="Y14" s="763"/>
      <c r="Z14" s="5"/>
    </row>
    <row r="15" spans="1:36" s="109" customFormat="1" ht="29" customHeight="1" thickBot="1">
      <c r="B15" s="773" t="s">
        <v>195</v>
      </c>
      <c r="C15" s="773"/>
      <c r="D15" s="773"/>
      <c r="E15" s="773"/>
      <c r="F15" s="773"/>
      <c r="G15" s="773"/>
      <c r="H15" s="773"/>
      <c r="I15" s="773"/>
      <c r="J15" s="773"/>
      <c r="K15" s="773"/>
      <c r="L15" s="773"/>
      <c r="M15" s="773"/>
      <c r="N15" s="773"/>
      <c r="O15" s="773"/>
      <c r="P15" s="773"/>
      <c r="Q15" s="773"/>
      <c r="R15" s="773"/>
      <c r="S15" s="773"/>
      <c r="T15" s="773"/>
      <c r="U15" s="773"/>
      <c r="V15" s="773"/>
      <c r="W15" s="773"/>
      <c r="X15" s="773"/>
      <c r="Y15" s="773"/>
      <c r="Z15" s="111"/>
    </row>
    <row r="16" spans="1:36" ht="29" customHeight="1" thickTop="1">
      <c r="B16" s="750" t="s">
        <v>186</v>
      </c>
      <c r="C16" s="751"/>
      <c r="D16" s="751"/>
      <c r="E16" s="754" t="str">
        <f>IF('FACT 1'!AB102=1,'FACT 1'!T92,IF('FACT 1'!AB102=2,'FACT 1'!T93,IF('FACT 1'!AB102=3,'FACT 1'!T94,IF('FACT 1'!AB102=4,'FACT 1'!T95,IF('FACT 1'!AB102=5,'FACT 1'!T96,IF('FACT 1'!AB102=6,'FACT 1'!T97,IF('FACT 1'!AB102=7,'FACT 1'!T98,IF('FACT 1'!AB102=8,'FACT 1'!T99,IF('FACT 1'!AB102=9,'FACT 1'!T100,"")))))))))</f>
        <v>rotunda</v>
      </c>
      <c r="F16" s="754"/>
      <c r="G16" s="754"/>
      <c r="H16" s="754"/>
      <c r="I16" s="755"/>
      <c r="J16" s="726" t="s">
        <v>189</v>
      </c>
      <c r="K16" s="727"/>
      <c r="L16" s="727"/>
      <c r="M16" s="771" t="str">
        <f>IF('FACT 1'!Q102=1,'FACT 1'!E93,IF('FACT 1'!Q102=2,'FACT 1'!E94,IF('FACT 1'!Q102=3,'FACT 1'!E95,IF('FACT 1'!Q102=4,'FACT 1'!E96,IF('FACT 1'!Q102=5,'FACT 1'!E97,IF('FACT 1'!Q102=6,'FACT 1'!E98,IF('FACT 1'!Q102=7,'FACT 1'!E99,IF('FACT 1'!Q102=8,'FACT 1'!E100,IF('FACT 1'!Q102=9,'FACT 1'!E101,"")))))))))</f>
        <v>casual</v>
      </c>
      <c r="N16" s="771"/>
      <c r="O16" s="771"/>
      <c r="P16" s="771"/>
      <c r="Q16" s="772"/>
      <c r="R16" s="746" t="s">
        <v>97</v>
      </c>
      <c r="S16" s="747"/>
      <c r="T16" s="747"/>
      <c r="U16" s="754" t="str">
        <f>IF('FACT 1'!T104&gt;1,'FACT 1'!U104,'FACT 1'!U105)</f>
        <v>semi-private event</v>
      </c>
      <c r="V16" s="754"/>
      <c r="W16" s="754"/>
      <c r="X16" s="754"/>
      <c r="Y16" s="755"/>
      <c r="Z16" s="4"/>
    </row>
    <row r="17" spans="1:26" ht="32" customHeight="1">
      <c r="B17" s="728" t="s">
        <v>188</v>
      </c>
      <c r="C17" s="729"/>
      <c r="D17" s="729"/>
      <c r="E17" s="776" t="str">
        <f>IF('FACT 1'!T102=1,'FACT 1'!D93,IF('FACT 1'!T102=2,'FACT 1'!D94,IF('FACT 1'!T102=3,'FACT 1'!D95,IF('FACT 1'!T102=4,'FACT 1'!D96,IF('FACT 1'!T102=5,'FACT 1'!D97,IF('FACT 1'!T102=6,'FACT 1'!D98,IF('FACT 1'!T102=7,'FACT 1'!D99,IF('FACT 1'!T102=8,'FACT 1'!D100,IF('FACT 1'!T102=9,'FACT 1'!D101,IF('FACT 1'!T102=10,'FACT 1'!D102,IF('FACT 1'!T102=11,'FACT 1'!D103,IF('FACT 1'!T102=12,'FACT 1'!D104,IF('FACT 1'!T102=13,'FACT 1'!D105,"")))))))))))))</f>
        <v>none</v>
      </c>
      <c r="F17" s="776"/>
      <c r="G17" s="776"/>
      <c r="H17" s="776"/>
      <c r="I17" s="777"/>
      <c r="J17" s="730" t="s">
        <v>187</v>
      </c>
      <c r="K17" s="731"/>
      <c r="L17" s="731"/>
      <c r="M17" s="724" t="str">
        <f>IF('FACT 1'!W102=1,'FACT 1'!B93,IF('FACT 1'!W102=2,'FACT 1'!B94,IF('FACT 1'!W102=3,'FACT 1'!B95,IF('FACT 1'!W102=4,'FACT 1'!B96,IF('FACT 1'!W102=5,'FACT 1'!B97,IF('FACT 1'!W102=6,'FACT 1'!B98,IF('FACT 1'!W102=7,'FACT 1'!B99,"")))))))</f>
        <v>plated</v>
      </c>
      <c r="N17" s="724"/>
      <c r="O17" s="724"/>
      <c r="P17" s="724"/>
      <c r="Q17" s="725"/>
      <c r="R17" s="728" t="s">
        <v>353</v>
      </c>
      <c r="S17" s="729"/>
      <c r="T17" s="729"/>
      <c r="U17" s="774" t="str">
        <f>IF(AGREEMENT!Q138=1,"guest valet",IF(AGREEMENT!Q138=2,"hosted valet",IF(AGREEMENT!Q138=3,"self-parking",IF(AGREEMENT!Q138=4,"undecided"))))</f>
        <v>undecided</v>
      </c>
      <c r="V17" s="774"/>
      <c r="W17" s="774"/>
      <c r="X17" s="774"/>
      <c r="Y17" s="775"/>
      <c r="Z17" s="4"/>
    </row>
    <row r="18" spans="1:26" s="109" customFormat="1" ht="29" customHeight="1" thickBot="1">
      <c r="B18" s="723" t="s">
        <v>192</v>
      </c>
      <c r="C18" s="723"/>
      <c r="D18" s="723"/>
      <c r="E18" s="723"/>
      <c r="F18" s="723"/>
      <c r="G18" s="723"/>
      <c r="H18" s="723"/>
      <c r="I18" s="723"/>
      <c r="J18" s="723"/>
      <c r="K18" s="723"/>
      <c r="L18" s="723"/>
      <c r="M18" s="723"/>
      <c r="N18" s="723"/>
      <c r="O18" s="723"/>
      <c r="P18" s="723"/>
      <c r="Q18" s="723"/>
      <c r="R18" s="723"/>
      <c r="S18" s="723"/>
      <c r="T18" s="723"/>
      <c r="U18" s="723"/>
      <c r="V18" s="723"/>
      <c r="W18" s="723"/>
      <c r="X18" s="723"/>
      <c r="Y18" s="723"/>
      <c r="Z18" s="112"/>
    </row>
    <row r="19" spans="1:26" ht="29" customHeight="1" thickTop="1">
      <c r="B19" s="750" t="s">
        <v>109</v>
      </c>
      <c r="C19" s="751"/>
      <c r="D19" s="751"/>
      <c r="E19" s="752" t="str">
        <f>"$"&amp;AGREEMENT!W29</f>
        <v>$800</v>
      </c>
      <c r="F19" s="752"/>
      <c r="G19" s="752"/>
      <c r="H19" s="752"/>
      <c r="I19" s="753"/>
      <c r="J19" s="726" t="s">
        <v>354</v>
      </c>
      <c r="K19" s="727"/>
      <c r="L19" s="727"/>
      <c r="M19" s="748" t="str">
        <f>IF(AGREEMENT!J29&gt;0,
IF('FACT 1'!Y92=1,
IF('FACT 1'!Z39&gt;0,
"$"&amp;AGREEMENT!J29&amp;" table #"&amp;'FACT 1'!Z39,
"$"&amp;AGREEMENT!J29&amp;", table ???"),
"$"&amp;AGREEMENT!J29&amp;", not paid"),
"none")</f>
        <v>$150, not paid</v>
      </c>
      <c r="N19" s="748"/>
      <c r="O19" s="748"/>
      <c r="P19" s="748"/>
      <c r="Q19" s="749"/>
      <c r="R19" s="746" t="s">
        <v>355</v>
      </c>
      <c r="S19" s="747"/>
      <c r="T19" s="747"/>
      <c r="U19" s="744" t="str">
        <f>IF(AGREEMENT!Y126=5,"UCLA PO",IF(AGREEMENT!Y126=4,"house account",IF(AGREEMENT!Y126=3,"cc authorization",IF(AGREEMENT!Y126=2,"credit card",IF(AGREEMENT!Y126=1,"approved check","")))))</f>
        <v>credit card</v>
      </c>
      <c r="V19" s="744"/>
      <c r="W19" s="744"/>
      <c r="X19" s="744"/>
      <c r="Y19" s="745"/>
      <c r="Z19" s="4"/>
    </row>
    <row r="20" spans="1:26" s="109" customFormat="1" ht="39" customHeight="1">
      <c r="B20" s="721"/>
      <c r="C20" s="721"/>
      <c r="D20" s="721"/>
      <c r="E20" s="721"/>
      <c r="F20" s="721"/>
      <c r="G20" s="721"/>
      <c r="H20" s="721"/>
      <c r="I20" s="721"/>
      <c r="J20" s="721"/>
      <c r="K20" s="721"/>
      <c r="L20" s="721"/>
      <c r="M20" s="721"/>
      <c r="N20" s="721"/>
      <c r="O20" s="721"/>
      <c r="P20" s="721"/>
      <c r="Q20" s="721"/>
      <c r="R20" s="721"/>
      <c r="S20" s="721"/>
      <c r="T20" s="721"/>
      <c r="U20" s="721"/>
      <c r="V20" s="721"/>
      <c r="W20" s="721"/>
      <c r="X20" s="721"/>
      <c r="Y20" s="721"/>
    </row>
    <row r="21" spans="1:26" ht="57" customHeight="1">
      <c r="A21" s="716" t="str">
        <f>IF('FACT 1'!$B$19&gt;0,CONCATENATE((TEXT('FACT 1'!$B$19,"DDDD"))&amp;", "&amp;(TEXT('FACT 1'!$B$19,"MMMM"))&amp;" "&amp;(TEXT('FACT 1'!$B$19,"d"))&amp;" @ "&amp;(TEXT('FACT 1'!F19,"h:mm am/pm"))))</f>
        <v>Tuesday, June 21 @ 12:30 PM</v>
      </c>
      <c r="B21" s="717"/>
      <c r="C21" s="717"/>
      <c r="D21" s="717"/>
      <c r="E21" s="717"/>
      <c r="F21" s="717"/>
      <c r="G21" s="717"/>
      <c r="H21" s="717"/>
      <c r="I21" s="717"/>
      <c r="J21" s="717"/>
      <c r="K21" s="717"/>
      <c r="L21" s="717"/>
      <c r="M21" s="717"/>
      <c r="N21" s="717"/>
      <c r="O21" s="717"/>
      <c r="P21" s="717"/>
      <c r="Q21" s="717"/>
      <c r="R21" s="717"/>
      <c r="S21" s="717"/>
      <c r="T21" s="717"/>
      <c r="U21" s="717"/>
      <c r="V21" s="718">
        <f>(AGREEMENT!R29-'FACT 1'!P104)</f>
        <v>18</v>
      </c>
      <c r="W21" s="719"/>
      <c r="X21" s="719"/>
      <c r="Y21" s="720"/>
      <c r="Z21" s="6"/>
    </row>
    <row r="22" spans="1:26">
      <c r="Y22" s="2"/>
    </row>
    <row r="23" spans="1:26">
      <c r="Y23" s="2"/>
    </row>
  </sheetData>
  <sheetProtection sheet="1" objects="1" scenarios="1" selectLockedCells="1" selectUnlockedCells="1"/>
  <mergeCells count="45">
    <mergeCell ref="B4:Y4"/>
    <mergeCell ref="B3:Y3"/>
    <mergeCell ref="R17:T17"/>
    <mergeCell ref="U16:Y16"/>
    <mergeCell ref="R16:T16"/>
    <mergeCell ref="M16:Q16"/>
    <mergeCell ref="B15:Y15"/>
    <mergeCell ref="B16:D16"/>
    <mergeCell ref="J17:L17"/>
    <mergeCell ref="U17:Y17"/>
    <mergeCell ref="B17:D17"/>
    <mergeCell ref="E17:I17"/>
    <mergeCell ref="Q13:Y13"/>
    <mergeCell ref="B5:Y5"/>
    <mergeCell ref="B7:Y7"/>
    <mergeCell ref="B8:Y8"/>
    <mergeCell ref="B18:Y18"/>
    <mergeCell ref="E16:I16"/>
    <mergeCell ref="B11:Y11"/>
    <mergeCell ref="B13:D13"/>
    <mergeCell ref="B9:Y9"/>
    <mergeCell ref="Q14:Y14"/>
    <mergeCell ref="B10:Y10"/>
    <mergeCell ref="U19:Y19"/>
    <mergeCell ref="R19:T19"/>
    <mergeCell ref="J19:L19"/>
    <mergeCell ref="M19:Q19"/>
    <mergeCell ref="B19:D19"/>
    <mergeCell ref="E19:I19"/>
    <mergeCell ref="A21:U21"/>
    <mergeCell ref="V21:Y21"/>
    <mergeCell ref="B20:Y20"/>
    <mergeCell ref="A1:Z1"/>
    <mergeCell ref="B12:Y12"/>
    <mergeCell ref="M17:Q17"/>
    <mergeCell ref="J16:L16"/>
    <mergeCell ref="B14:D14"/>
    <mergeCell ref="N13:P13"/>
    <mergeCell ref="N14:P14"/>
    <mergeCell ref="B2:E2"/>
    <mergeCell ref="F2:S2"/>
    <mergeCell ref="T2:Y2"/>
    <mergeCell ref="E13:M13"/>
    <mergeCell ref="E14:M14"/>
    <mergeCell ref="B6:Y6"/>
  </mergeCells>
  <phoneticPr fontId="3" type="noConversion"/>
  <pageMargins left="0.25" right="0.25" top="0.75" bottom="0.25" header="0.3" footer="0.3"/>
  <pageSetup orientation="portrait" horizontalDpi="4294967292" verticalDpi="4294967292"/>
  <headerFooter>
    <oddHeader>&amp;L&amp;"Calibri,Regular"&amp;K000000&amp;G&amp;C&amp;"Gill Sans,Bold"&amp;6&amp;K000000★★★ ATTACH TO EVENT FOLDER COVER and CLIPBOARD  ★★★ ATTACH TO EVENT FOLDER COVER and CLIPBOARD ★★★</oddHeader>
  </headerFooter>
  <rowBreaks count="1" manualBreakCount="1">
    <brk id="21" max="16383" man="1"/>
  </rowBreaks>
  <legacyDrawingHF r:id="rId1"/>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theme="4"/>
  </sheetPr>
  <dimension ref="A1:ES330"/>
  <sheetViews>
    <sheetView view="pageLayout" zoomScale="150" workbookViewId="0">
      <selection activeCell="V63" sqref="V63:W63"/>
    </sheetView>
  </sheetViews>
  <sheetFormatPr baseColWidth="10" defaultRowHeight="12" customHeight="1" x14ac:dyDescent="0"/>
  <cols>
    <col min="1" max="1" width="0.6640625" style="12" customWidth="1"/>
    <col min="2" max="5" width="3.1640625" style="62" customWidth="1"/>
    <col min="6" max="29" width="3.1640625" style="12" customWidth="1"/>
    <col min="30" max="30" width="0.5" style="12" customWidth="1"/>
    <col min="31" max="37" width="10.83203125" style="10"/>
    <col min="38" max="16384" width="10.83203125" style="12"/>
  </cols>
  <sheetData>
    <row r="1" spans="1:37" ht="1" customHeight="1">
      <c r="A1" s="874" t="str">
        <f>Q2</f>
        <v>160621LRTCC</v>
      </c>
      <c r="B1" s="874"/>
      <c r="C1" s="874"/>
      <c r="D1" s="874"/>
      <c r="E1" s="874"/>
      <c r="F1" s="874"/>
      <c r="G1" s="874"/>
      <c r="H1" s="874"/>
      <c r="I1" s="874"/>
      <c r="J1" s="874"/>
      <c r="K1" s="874"/>
      <c r="L1" s="874"/>
      <c r="M1" s="874"/>
      <c r="N1" s="874"/>
      <c r="O1" s="874"/>
      <c r="P1" s="874"/>
      <c r="Q1" s="874"/>
      <c r="R1" s="874"/>
      <c r="S1" s="874"/>
      <c r="T1" s="874"/>
      <c r="U1" s="874"/>
      <c r="V1" s="874"/>
      <c r="W1" s="874"/>
      <c r="X1" s="874"/>
      <c r="Y1" s="874"/>
      <c r="Z1" s="874"/>
      <c r="AA1" s="874"/>
      <c r="AB1" s="874"/>
      <c r="AC1" s="874"/>
      <c r="AD1" s="874"/>
    </row>
    <row r="2" spans="1:37" ht="14" customHeight="1">
      <c r="B2" s="12"/>
      <c r="C2" s="12"/>
      <c r="D2" s="12"/>
      <c r="E2" s="12"/>
      <c r="F2" s="113" t="s">
        <v>237</v>
      </c>
      <c r="H2" s="113"/>
      <c r="I2" s="17"/>
      <c r="J2" s="17"/>
      <c r="K2" s="17"/>
      <c r="L2" s="17"/>
      <c r="M2" s="17"/>
      <c r="N2" s="114"/>
      <c r="O2" s="802" t="s">
        <v>141</v>
      </c>
      <c r="P2" s="803"/>
      <c r="Q2" s="810" t="str">
        <f>IF((COUNT(AGREEMENT!B22,AGREEMENT!B25:AA25))&gt;1,"S-"&amp;IF(AGREEMENT!$B22&gt;0,(CONCATENATE(TEXT('FACT 1'!$B$102,"yymmdd"),'FACT 1'!$F$102,'FACT 1'!$AC$102,AGREEMENT!Z126))," "),IF(AGREEMENT!$B22&gt;0,(CONCATENATE(TEXT('FACT 1'!$B$102,"yymmdd"),'FACT 1'!$F$102,'FACT 1'!$AC$102,AGREEMENT!Z126)),""))</f>
        <v>160621LRTCC</v>
      </c>
      <c r="R2" s="810"/>
      <c r="S2" s="810"/>
      <c r="T2" s="810"/>
      <c r="U2" s="810"/>
      <c r="V2" s="812" t="s">
        <v>231</v>
      </c>
      <c r="W2" s="812"/>
      <c r="X2" s="806" t="str">
        <f>IF(F19&gt;-1,(TEXT(F19,"h:mm am/pm"))&amp;" to "&amp;(TEXT(J19,"h:mm am/pm")),"")</f>
        <v>12:30 PM to 3:30 PM</v>
      </c>
      <c r="Y2" s="806"/>
      <c r="Z2" s="806"/>
      <c r="AA2" s="806"/>
      <c r="AB2" s="806"/>
      <c r="AC2" s="807"/>
    </row>
    <row r="3" spans="1:37" ht="14" customHeight="1">
      <c r="F3" s="113" t="s">
        <v>238</v>
      </c>
      <c r="H3" s="113"/>
      <c r="I3" s="17"/>
      <c r="J3" s="17"/>
      <c r="K3" s="17"/>
      <c r="L3" s="17"/>
      <c r="M3" s="17"/>
      <c r="O3" s="804" t="s">
        <v>143</v>
      </c>
      <c r="P3" s="805"/>
      <c r="Q3" s="810" t="str">
        <f>IF(AGREEMENT!Y126=5,"UCLA purchase order",IF(AGREEMENT!Y126=4,"house account",IF(AGREEMENT!Y126=3,"cc authorization (attached)",IF(AGREEMENT!Y126=2,"credit card",IF(AGREEMENT!Y126=1,"approved check","")))))</f>
        <v>credit card</v>
      </c>
      <c r="R3" s="810"/>
      <c r="S3" s="810"/>
      <c r="T3" s="810"/>
      <c r="U3" s="810"/>
      <c r="V3" s="812" t="s">
        <v>230</v>
      </c>
      <c r="W3" s="812"/>
      <c r="X3" s="808" t="str">
        <f>IF(Z19&gt;0,Z19&amp;" ("&amp;J22&amp;" hours)","missing event space")</f>
        <v>rotunda (3 hours)</v>
      </c>
      <c r="Y3" s="808"/>
      <c r="Z3" s="808"/>
      <c r="AA3" s="808"/>
      <c r="AB3" s="808"/>
      <c r="AC3" s="809"/>
    </row>
    <row r="4" spans="1:37" ht="14" customHeight="1">
      <c r="F4" s="113" t="s">
        <v>239</v>
      </c>
      <c r="H4" s="113"/>
      <c r="I4" s="17"/>
      <c r="J4" s="17"/>
      <c r="K4" s="17"/>
      <c r="L4" s="17"/>
      <c r="M4" s="17"/>
      <c r="O4" s="802" t="s">
        <v>142</v>
      </c>
      <c r="P4" s="803"/>
      <c r="Q4" s="810" t="str">
        <f>IF(AGREEMENT!J29&gt;0,
IF(Y92=1,
IF(Z39&gt;0,
"$"&amp;AGREEMENT!J29&amp;" on table #"&amp;Z39,
"$"&amp;AGREEMENT!J29&amp;", on table ???"),
"$"&amp;AGREEMENT!J29&amp;", not processed"),
"none")</f>
        <v>$150, not processed</v>
      </c>
      <c r="R4" s="810"/>
      <c r="S4" s="810"/>
      <c r="T4" s="810"/>
      <c r="U4" s="810"/>
      <c r="V4" s="812" t="s">
        <v>97</v>
      </c>
      <c r="W4" s="812"/>
      <c r="X4" s="810" t="str">
        <f>CONCATENATE(AGREEMENT!J22,", ",V19)</f>
        <v>semi-private, casual</v>
      </c>
      <c r="Y4" s="810"/>
      <c r="Z4" s="810"/>
      <c r="AA4" s="810"/>
      <c r="AB4" s="810"/>
      <c r="AC4" s="811"/>
      <c r="AE4" s="1"/>
      <c r="AF4" s="1"/>
      <c r="AG4" s="1"/>
    </row>
    <row r="5" spans="1:37" ht="14" customHeight="1">
      <c r="F5" s="115" t="s">
        <v>240</v>
      </c>
      <c r="H5" s="115"/>
      <c r="I5" s="51"/>
      <c r="J5" s="51"/>
      <c r="K5" s="17"/>
      <c r="L5" s="17"/>
      <c r="M5" s="17"/>
      <c r="O5" s="802" t="s">
        <v>104</v>
      </c>
      <c r="P5" s="803"/>
      <c r="Q5" s="813" t="str">
        <f>IF(K43&gt;0,"$"&amp;K43&amp;" +tax/service","unknown")</f>
        <v>$800 +tax/service</v>
      </c>
      <c r="R5" s="813"/>
      <c r="S5" s="813"/>
      <c r="T5" s="813"/>
      <c r="U5" s="813"/>
      <c r="V5" s="812" t="s">
        <v>144</v>
      </c>
      <c r="W5" s="812"/>
      <c r="X5" s="810" t="str">
        <f>IF($V$22&gt;0,
IF($R$22&lt;0,"f: "&amp;$V$22&amp;" | b: none","f: "&amp;$V$22&amp;" | b: "&amp;$R$22), IF($R$22&lt;0,"f: none | b: none",
"f: none | b: "&amp;$R$22))</f>
        <v>f: plated | b: none</v>
      </c>
      <c r="Y5" s="810"/>
      <c r="Z5" s="810"/>
      <c r="AA5" s="810"/>
      <c r="AB5" s="810"/>
      <c r="AC5" s="811"/>
      <c r="AE5" s="1"/>
      <c r="AF5" s="1"/>
      <c r="AG5" s="1"/>
    </row>
    <row r="6" spans="1:37" ht="4" customHeight="1">
      <c r="A6" s="957"/>
      <c r="B6" s="485"/>
      <c r="C6" s="485"/>
      <c r="D6" s="485"/>
      <c r="E6" s="485"/>
      <c r="F6" s="485"/>
      <c r="G6" s="485"/>
      <c r="H6" s="485"/>
      <c r="I6" s="485"/>
      <c r="J6" s="485"/>
      <c r="K6" s="485"/>
      <c r="L6" s="485"/>
      <c r="M6" s="485"/>
      <c r="N6" s="485"/>
      <c r="O6" s="485"/>
      <c r="P6" s="485"/>
      <c r="Q6" s="485"/>
      <c r="R6" s="485"/>
      <c r="S6" s="485"/>
      <c r="T6" s="485"/>
      <c r="U6" s="485"/>
      <c r="V6" s="485"/>
      <c r="W6" s="485"/>
      <c r="X6" s="485"/>
      <c r="Y6" s="485"/>
      <c r="Z6" s="485"/>
      <c r="AA6" s="485"/>
      <c r="AB6" s="485"/>
      <c r="AC6" s="485"/>
      <c r="AD6" s="485"/>
      <c r="AE6" s="1"/>
      <c r="AF6" s="1"/>
      <c r="AG6" s="1"/>
    </row>
    <row r="7" spans="1:37" s="57" customFormat="1" ht="21" customHeight="1">
      <c r="B7" s="958" t="str">
        <f>IF(AGREEMENT!$Y$126=5,"UCLA FACT SHEET","FACT SHEET")</f>
        <v>FACT SHEET</v>
      </c>
      <c r="C7" s="959"/>
      <c r="D7" s="959"/>
      <c r="E7" s="959"/>
      <c r="F7" s="959"/>
      <c r="G7" s="959"/>
      <c r="H7" s="539" t="str">
        <f>IF(AGREEMENT!$D$13&gt;0,
(IF(AGREEMENT!$Q$13&gt;0,
("  "&amp;AGREEMENT!$D$13&amp;" ("&amp;AGREEMENT!$Q$13&amp;")"),
"  "&amp;AGREEMENT!$D$13&amp;""))," "&amp;AGREEMENT!$Q$13)</f>
        <v xml:space="preserve"> </v>
      </c>
      <c r="I7" s="539"/>
      <c r="J7" s="539"/>
      <c r="K7" s="539"/>
      <c r="L7" s="539"/>
      <c r="M7" s="539"/>
      <c r="N7" s="539"/>
      <c r="O7" s="539"/>
      <c r="P7" s="539"/>
      <c r="Q7" s="539"/>
      <c r="R7" s="539"/>
      <c r="S7" s="539"/>
      <c r="T7" s="539"/>
      <c r="U7" s="952" t="str">
        <f>IF(AGREEMENT!$B$22&gt;0,CONCATENATE((TEXT(AGREEMENT!$B$22,"DDDD"))&amp;", "&amp;(TEXT(AGREEMENT!$B$22,"MMMM"))&amp;" "&amp;(TEXT(AGREEMENT!$B$22,"d"))&amp;", "&amp;(TEXT(AGREEMENT!$B$22,"yyyy"))&amp;" @ "&amp;(TEXT(AGREEMENT!D22,"h:mm am/pm"))),"")</f>
        <v>Tuesday, June 21, 2016 @ 12:30 PM</v>
      </c>
      <c r="V7" s="952"/>
      <c r="W7" s="952"/>
      <c r="X7" s="952"/>
      <c r="Y7" s="952"/>
      <c r="Z7" s="952"/>
      <c r="AA7" s="952"/>
      <c r="AB7" s="952"/>
      <c r="AC7" s="953"/>
      <c r="AE7" s="1"/>
      <c r="AF7" s="1"/>
      <c r="AG7" s="1"/>
      <c r="AH7" s="10"/>
      <c r="AI7" s="10"/>
      <c r="AJ7" s="10"/>
      <c r="AK7" s="10"/>
    </row>
    <row r="8" spans="1:37" ht="4" customHeight="1">
      <c r="A8" s="485"/>
      <c r="B8" s="485"/>
      <c r="C8" s="485"/>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1"/>
      <c r="AF8" s="1"/>
      <c r="AG8" s="1"/>
    </row>
    <row r="9" spans="1:37" s="9" customFormat="1" ht="18" customHeight="1" thickBot="1">
      <c r="A9" s="87"/>
      <c r="B9" s="944" t="s">
        <v>208</v>
      </c>
      <c r="C9" s="944"/>
      <c r="D9" s="944"/>
      <c r="E9" s="944"/>
      <c r="F9" s="944"/>
      <c r="G9" s="944"/>
      <c r="H9" s="944"/>
      <c r="I9" s="944"/>
      <c r="J9" s="944"/>
      <c r="K9" s="944"/>
      <c r="L9" s="944"/>
      <c r="M9" s="944"/>
      <c r="N9" s="944"/>
      <c r="O9" s="944"/>
      <c r="P9" s="794" t="s">
        <v>282</v>
      </c>
      <c r="Q9" s="794"/>
      <c r="R9" s="794"/>
      <c r="S9" s="794"/>
      <c r="T9" s="794"/>
      <c r="U9" s="794"/>
      <c r="V9" s="794"/>
      <c r="W9" s="794"/>
      <c r="X9" s="794"/>
      <c r="Y9" s="794"/>
      <c r="Z9" s="794"/>
      <c r="AA9" s="794"/>
      <c r="AB9" s="794"/>
      <c r="AC9" s="794"/>
      <c r="AE9" s="1"/>
      <c r="AF9" s="1"/>
      <c r="AG9" s="1"/>
      <c r="AH9" s="11"/>
      <c r="AI9" s="11"/>
      <c r="AJ9" s="11"/>
      <c r="AK9" s="11"/>
    </row>
    <row r="10" spans="1:37" ht="15" customHeight="1" thickTop="1">
      <c r="B10" s="950" t="s">
        <v>321</v>
      </c>
      <c r="C10" s="950"/>
      <c r="D10" s="789" t="str">
        <f>IF(AGREEMENT!D13&gt;0,AGREEMENT!D13,"")</f>
        <v/>
      </c>
      <c r="E10" s="790"/>
      <c r="F10" s="790"/>
      <c r="G10" s="790"/>
      <c r="H10" s="790"/>
      <c r="I10" s="790"/>
      <c r="J10" s="790"/>
      <c r="K10" s="790"/>
      <c r="L10" s="790"/>
      <c r="M10" s="790"/>
      <c r="N10" s="790"/>
      <c r="O10" s="790"/>
      <c r="P10" s="954" t="s">
        <v>6</v>
      </c>
      <c r="Q10" s="955"/>
      <c r="R10" s="790" t="str">
        <f>IF(AGREEMENT!Q13&gt;0,AGREEMENT!Q13,"")</f>
        <v/>
      </c>
      <c r="S10" s="790"/>
      <c r="T10" s="790"/>
      <c r="U10" s="790"/>
      <c r="V10" s="790"/>
      <c r="W10" s="790"/>
      <c r="X10" s="790"/>
      <c r="Y10" s="790"/>
      <c r="Z10" s="790"/>
      <c r="AA10" s="790"/>
      <c r="AB10" s="790"/>
      <c r="AC10" s="790"/>
      <c r="AD10" s="28"/>
      <c r="AE10" s="1"/>
      <c r="AF10" s="1"/>
      <c r="AG10" s="1"/>
    </row>
    <row r="11" spans="1:37" ht="15" customHeight="1">
      <c r="B11" s="945" t="s">
        <v>166</v>
      </c>
      <c r="C11" s="945"/>
      <c r="D11" s="788" t="str">
        <f>IF(AGREEMENT!D14&gt;0,AGREEMENT!D14,"")</f>
        <v/>
      </c>
      <c r="E11" s="787"/>
      <c r="F11" s="787"/>
      <c r="G11" s="787"/>
      <c r="H11" s="787"/>
      <c r="I11" s="787"/>
      <c r="J11" s="787"/>
      <c r="K11" s="787"/>
      <c r="L11" s="787"/>
      <c r="M11" s="787"/>
      <c r="N11" s="787"/>
      <c r="O11" s="787"/>
      <c r="P11" s="792" t="s">
        <v>224</v>
      </c>
      <c r="Q11" s="956"/>
      <c r="R11" s="787" t="str">
        <f>IF(AGREEMENT!Q14&gt;0,AGREEMENT!Q14,"")</f>
        <v/>
      </c>
      <c r="S11" s="787"/>
      <c r="T11" s="787"/>
      <c r="U11" s="787"/>
      <c r="V11" s="787"/>
      <c r="W11" s="787"/>
      <c r="X11" s="787"/>
      <c r="Y11" s="787"/>
      <c r="Z11" s="787"/>
      <c r="AA11" s="787"/>
      <c r="AB11" s="787"/>
      <c r="AC11" s="787"/>
    </row>
    <row r="12" spans="1:37" s="85" customFormat="1" ht="15" customHeight="1">
      <c r="B12" s="945" t="s">
        <v>1</v>
      </c>
      <c r="C12" s="945"/>
      <c r="D12" s="788" t="str">
        <f>IF(AGREEMENT!D15&gt;0,AGREEMENT!D15,"")</f>
        <v/>
      </c>
      <c r="E12" s="787"/>
      <c r="F12" s="787"/>
      <c r="G12" s="787"/>
      <c r="H12" s="787"/>
      <c r="I12" s="787"/>
      <c r="J12" s="787"/>
      <c r="K12" s="787"/>
      <c r="L12" s="787"/>
      <c r="M12" s="787"/>
      <c r="N12" s="787"/>
      <c r="O12" s="787"/>
      <c r="P12" s="792" t="s">
        <v>84</v>
      </c>
      <c r="Q12" s="793"/>
      <c r="R12" s="824" t="str">
        <f>IF(AGREEMENT!Q15&gt;0,AGREEMENT!Q15,"")</f>
        <v/>
      </c>
      <c r="S12" s="824"/>
      <c r="T12" s="824"/>
      <c r="U12" s="824"/>
      <c r="V12" s="824"/>
      <c r="W12" s="824"/>
      <c r="X12" s="824"/>
      <c r="Y12" s="824"/>
      <c r="Z12" s="824"/>
      <c r="AA12" s="824"/>
      <c r="AB12" s="824"/>
      <c r="AC12" s="824"/>
    </row>
    <row r="13" spans="1:37" ht="15" customHeight="1">
      <c r="B13" s="945" t="s">
        <v>1</v>
      </c>
      <c r="C13" s="945"/>
      <c r="D13" s="788" t="str">
        <f>IF(AGREEMENT!D16&gt;0,AGREEMENT!D16,"")</f>
        <v/>
      </c>
      <c r="E13" s="787"/>
      <c r="F13" s="787"/>
      <c r="G13" s="787"/>
      <c r="H13" s="787"/>
      <c r="I13" s="787"/>
      <c r="J13" s="787"/>
      <c r="K13" s="787"/>
      <c r="L13" s="787"/>
      <c r="M13" s="787"/>
      <c r="N13" s="787"/>
      <c r="O13" s="787"/>
      <c r="P13" s="946" t="s">
        <v>5</v>
      </c>
      <c r="Q13" s="947"/>
      <c r="R13" s="787" t="str">
        <f>IF(AGREEMENT!Q16&gt;0,AGREEMENT!Q16,"")</f>
        <v/>
      </c>
      <c r="S13" s="787"/>
      <c r="T13" s="787"/>
      <c r="U13" s="787"/>
      <c r="V13" s="787"/>
      <c r="W13" s="787"/>
      <c r="X13" s="787"/>
      <c r="Y13" s="787"/>
      <c r="Z13" s="787"/>
      <c r="AA13" s="787"/>
      <c r="AB13" s="787"/>
      <c r="AC13" s="787"/>
    </row>
    <row r="14" spans="1:37" ht="15" customHeight="1">
      <c r="B14" s="945" t="s">
        <v>37</v>
      </c>
      <c r="C14" s="945"/>
      <c r="D14" s="788" t="str">
        <f>IF(AGREEMENT!D17&gt;0,AGREEMENT!D17,"")</f>
        <v/>
      </c>
      <c r="E14" s="787"/>
      <c r="F14" s="787"/>
      <c r="G14" s="787"/>
      <c r="H14" s="787"/>
      <c r="I14" s="787"/>
      <c r="J14" s="787"/>
      <c r="K14" s="787"/>
      <c r="L14" s="787"/>
      <c r="M14" s="787"/>
      <c r="N14" s="787"/>
      <c r="O14" s="787"/>
      <c r="P14" s="785" t="s">
        <v>224</v>
      </c>
      <c r="Q14" s="786"/>
      <c r="R14" s="787" t="str">
        <f>IF(AGREEMENT!Q17&gt;0,AGREEMENT!Q17,"")</f>
        <v/>
      </c>
      <c r="S14" s="787"/>
      <c r="T14" s="787"/>
      <c r="U14" s="787"/>
      <c r="V14" s="787"/>
      <c r="W14" s="787"/>
      <c r="X14" s="787"/>
      <c r="Y14" s="787"/>
      <c r="Z14" s="787"/>
      <c r="AA14" s="787"/>
      <c r="AB14" s="787"/>
      <c r="AC14" s="787"/>
    </row>
    <row r="15" spans="1:37" ht="15" customHeight="1">
      <c r="B15" s="945" t="s">
        <v>61</v>
      </c>
      <c r="C15" s="945"/>
      <c r="D15" s="788" t="str">
        <f>IF(AGREEMENT!D18&gt;0,AGREEMENT!D18,"")</f>
        <v/>
      </c>
      <c r="E15" s="787"/>
      <c r="F15" s="787"/>
      <c r="G15" s="787"/>
      <c r="H15" s="787"/>
      <c r="I15" s="787"/>
      <c r="J15" s="787"/>
      <c r="K15" s="787"/>
      <c r="L15" s="787"/>
      <c r="M15" s="787"/>
      <c r="N15" s="787"/>
      <c r="O15" s="787"/>
      <c r="P15" s="785" t="s">
        <v>84</v>
      </c>
      <c r="Q15" s="786"/>
      <c r="R15" s="787" t="str">
        <f>IF(AGREEMENT!Q18&gt;0,AGREEMENT!Q18,"")</f>
        <v/>
      </c>
      <c r="S15" s="787"/>
      <c r="T15" s="787"/>
      <c r="U15" s="787"/>
      <c r="V15" s="787"/>
      <c r="W15" s="787"/>
      <c r="X15" s="787"/>
      <c r="Y15" s="787"/>
      <c r="Z15" s="787"/>
      <c r="AA15" s="787"/>
      <c r="AB15" s="787"/>
      <c r="AC15" s="787"/>
    </row>
    <row r="16" spans="1:37" ht="4" customHeight="1">
      <c r="A16" s="420"/>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row>
    <row r="17" spans="1:149" s="9" customFormat="1" ht="18" customHeight="1" thickBot="1">
      <c r="A17" s="87"/>
      <c r="B17" s="794" t="s">
        <v>17</v>
      </c>
      <c r="C17" s="794"/>
      <c r="D17" s="794"/>
      <c r="E17" s="794"/>
      <c r="F17" s="794"/>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88"/>
      <c r="AE17" s="11"/>
      <c r="AF17" s="11"/>
      <c r="AG17" s="11"/>
      <c r="AH17" s="11"/>
      <c r="AI17" s="11"/>
      <c r="AJ17" s="11"/>
      <c r="AK17" s="11"/>
    </row>
    <row r="18" spans="1:149" s="153" customFormat="1" ht="17" customHeight="1" thickTop="1">
      <c r="B18" s="783" t="s">
        <v>283</v>
      </c>
      <c r="C18" s="783"/>
      <c r="D18" s="783"/>
      <c r="E18" s="783"/>
      <c r="F18" s="783" t="s">
        <v>314</v>
      </c>
      <c r="G18" s="783"/>
      <c r="H18" s="783"/>
      <c r="I18" s="783"/>
      <c r="J18" s="796" t="s">
        <v>357</v>
      </c>
      <c r="K18" s="797"/>
      <c r="L18" s="797"/>
      <c r="M18" s="798"/>
      <c r="N18" s="783" t="s">
        <v>289</v>
      </c>
      <c r="O18" s="783"/>
      <c r="P18" s="783"/>
      <c r="Q18" s="783"/>
      <c r="R18" s="949" t="s">
        <v>119</v>
      </c>
      <c r="S18" s="949"/>
      <c r="T18" s="949"/>
      <c r="U18" s="949"/>
      <c r="V18" s="783" t="s">
        <v>233</v>
      </c>
      <c r="W18" s="783"/>
      <c r="X18" s="783"/>
      <c r="Y18" s="783"/>
      <c r="Z18" s="783" t="s">
        <v>96</v>
      </c>
      <c r="AA18" s="783"/>
      <c r="AB18" s="783"/>
      <c r="AC18" s="783"/>
      <c r="AD18" s="155"/>
      <c r="AE18" s="38"/>
      <c r="AF18" s="38"/>
      <c r="AG18" s="38"/>
      <c r="AH18" s="38"/>
      <c r="AI18" s="38"/>
      <c r="AJ18" s="38"/>
      <c r="AK18" s="38"/>
    </row>
    <row r="19" spans="1:149" s="98" customFormat="1" ht="17" customHeight="1">
      <c r="B19" s="948">
        <f>IF(AGREEMENT!B22&gt;0,AGREEMENT!B22,"")</f>
        <v>42542</v>
      </c>
      <c r="C19" s="948"/>
      <c r="D19" s="948"/>
      <c r="E19" s="948"/>
      <c r="F19" s="795">
        <f>IF(AGREEMENT!D22&gt;-1,AGREEMENT!D22,"")</f>
        <v>0.52083333333333337</v>
      </c>
      <c r="G19" s="795"/>
      <c r="H19" s="795"/>
      <c r="I19" s="795"/>
      <c r="J19" s="940">
        <f>IF(AGREEMENT!F22&gt;-1,AGREEMENT!F22,"")</f>
        <v>0.64583333333333337</v>
      </c>
      <c r="K19" s="941"/>
      <c r="L19" s="941"/>
      <c r="M19" s="942"/>
      <c r="N19" s="784" t="str">
        <f>IF(AGREEMENT!$Y$126=1,AGREEMENT!$R$135,IF(AGREEMENT!$Y$126=2,AGREEMENT!$R$136,IF(AGREEMENT!$Y$126=3,AGREEMENT!$R$137,IF(AGREEMENT!$Y$126=4,AGREEMENT!$R$138,IF(AGREEMENT!$Y$126=5,AGREEMENT!$R$139)))))</f>
        <v>credit card</v>
      </c>
      <c r="O19" s="784"/>
      <c r="P19" s="784"/>
      <c r="Q19" s="784"/>
      <c r="R19" s="791" t="str">
        <f>IF(T104&gt;1,U104,U105)</f>
        <v>semi-private event</v>
      </c>
      <c r="S19" s="791"/>
      <c r="T19" s="791"/>
      <c r="U19" s="791"/>
      <c r="V19" s="791" t="str">
        <f>IF(Q102=1,E93,IF(Q102=2,E94,IF(Q102=3,E95,IF(Q102=4,E96,IF(Q102=5,E97,IF(Q102=6,E98,IF(Q102=7,E99,IF(Q102=8,E100,IF(Q102=9,E101,"")))))))))</f>
        <v>casual</v>
      </c>
      <c r="W19" s="791"/>
      <c r="X19" s="791"/>
      <c r="Y19" s="791"/>
      <c r="Z19" s="791" t="str">
        <f>IF(AB102=1,T92,IF(AB102=2,T93,IF(AB102=3,T94,IF(AB102=4,T95,IF(AB102=5,T96,IF(AB102=6,T97,IF(AB102=7,T98,IF(AB102=8,T99,IF(AB102=9,T100,"")))))))))</f>
        <v>rotunda</v>
      </c>
      <c r="AA19" s="791"/>
      <c r="AB19" s="791"/>
      <c r="AC19" s="791"/>
      <c r="AD19" s="116"/>
    </row>
    <row r="20" spans="1:149" ht="2" customHeight="1">
      <c r="B20" s="934"/>
      <c r="C20" s="934"/>
      <c r="D20" s="934"/>
      <c r="E20" s="934"/>
      <c r="F20" s="934"/>
      <c r="G20" s="934"/>
      <c r="H20" s="934"/>
      <c r="I20" s="934"/>
      <c r="J20" s="934"/>
      <c r="K20" s="934"/>
      <c r="L20" s="934"/>
      <c r="M20" s="934"/>
      <c r="N20" s="934"/>
      <c r="O20" s="934"/>
      <c r="P20" s="934"/>
      <c r="Q20" s="934"/>
      <c r="R20" s="934"/>
      <c r="S20" s="934"/>
      <c r="T20" s="934"/>
      <c r="U20" s="934"/>
      <c r="V20" s="934"/>
      <c r="W20" s="934"/>
      <c r="X20" s="934"/>
      <c r="Y20" s="934"/>
      <c r="Z20" s="934"/>
      <c r="AA20" s="934"/>
      <c r="AB20" s="934"/>
      <c r="AC20" s="934"/>
      <c r="AD20" s="117"/>
      <c r="AE20" s="12"/>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row>
    <row r="21" spans="1:149" s="153" customFormat="1" ht="17" customHeight="1">
      <c r="B21" s="943" t="s">
        <v>324</v>
      </c>
      <c r="C21" s="943"/>
      <c r="D21" s="943"/>
      <c r="E21" s="943"/>
      <c r="F21" s="943" t="s">
        <v>227</v>
      </c>
      <c r="G21" s="943"/>
      <c r="H21" s="943"/>
      <c r="I21" s="943"/>
      <c r="J21" s="814" t="s">
        <v>309</v>
      </c>
      <c r="K21" s="815"/>
      <c r="L21" s="815"/>
      <c r="M21" s="816"/>
      <c r="N21" s="935" t="s">
        <v>198</v>
      </c>
      <c r="O21" s="935"/>
      <c r="P21" s="935"/>
      <c r="Q21" s="935"/>
      <c r="R21" s="935" t="s">
        <v>63</v>
      </c>
      <c r="S21" s="935"/>
      <c r="T21" s="935"/>
      <c r="U21" s="935"/>
      <c r="V21" s="943" t="s">
        <v>62</v>
      </c>
      <c r="W21" s="943"/>
      <c r="X21" s="943"/>
      <c r="Y21" s="943"/>
      <c r="Z21" s="935" t="s">
        <v>209</v>
      </c>
      <c r="AA21" s="935"/>
      <c r="AB21" s="935"/>
      <c r="AC21" s="935"/>
      <c r="AD21" s="118" t="s">
        <v>235</v>
      </c>
      <c r="AE21" s="154"/>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row>
    <row r="22" spans="1:149" s="98" customFormat="1" ht="17" customHeight="1">
      <c r="B22" s="933" t="str">
        <f>IF(AGREEMENT!B25&gt;0,"event 1 of "&amp;(COUNT(AGREEMENT!B22,AGREEMENT!B25:AA25)),"single event")</f>
        <v>single event</v>
      </c>
      <c r="C22" s="933"/>
      <c r="D22" s="933"/>
      <c r="E22" s="933"/>
      <c r="F22" s="795">
        <f>IF(AGREEMENT!H22&gt;0,AGREEMENT!H22,"")</f>
        <v>0.4375</v>
      </c>
      <c r="G22" s="795"/>
      <c r="H22" s="795"/>
      <c r="I22" s="795"/>
      <c r="J22" s="817">
        <f>IF(IF(F19&gt;0,(IF(((J19-F19)*24)&lt;1.01,(((J19-F19)*24)),(((J19-F19)*24)))),"")&lt;0,(((J19-F19)*24))+24,((J19-F19)*24))</f>
        <v>3</v>
      </c>
      <c r="K22" s="818"/>
      <c r="L22" s="818"/>
      <c r="M22" s="819"/>
      <c r="N22" s="936" t="str">
        <f>IF(AGREEMENT!Q138=1,"guest valet",IF(AGREEMENT!Q138=2,"hosted valet",IF(AGREEMENT!Q138=3,"self-parking",IF(AGREEMENT!Q138=4,"undecided"))))</f>
        <v>undecided</v>
      </c>
      <c r="O22" s="936"/>
      <c r="P22" s="936"/>
      <c r="Q22" s="936"/>
      <c r="R22" s="791" t="str">
        <f>IF(T102=1,D93,IF(T102=2,D94,IF(T102=3,D95,IF(T102=4,D96,IF(T102=5,D97,IF(T102=6,D98,IF(T102=7,D99,IF(T102=8,D100,IF(T102=9,D101,IF(T102=10,D102,IF(T102=11,D103,IF(T102=12,D104,IF(T102=13,D105,"")))))))))))))</f>
        <v>none</v>
      </c>
      <c r="S22" s="791"/>
      <c r="T22" s="791"/>
      <c r="U22" s="791"/>
      <c r="V22" s="791" t="str">
        <f>IF(W102=1,B93,IF(W102=2,B94,IF(W102=3,B95,IF(W102=4,B96,IF(W102=5,B97,IF(W102=6,B98,IF(W102=7,B99,"")))))))</f>
        <v>plated</v>
      </c>
      <c r="W22" s="791"/>
      <c r="X22" s="791"/>
      <c r="Y22" s="791"/>
      <c r="Z22" s="791" t="str">
        <f>(AGREEMENT!R29-P104)&amp;" guests"</f>
        <v>18 guests</v>
      </c>
      <c r="AA22" s="791"/>
      <c r="AB22" s="791"/>
      <c r="AC22" s="791"/>
      <c r="AD22" s="119"/>
      <c r="AE22" s="120"/>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row>
    <row r="23" spans="1:149" s="59" customFormat="1" ht="4" customHeight="1">
      <c r="A23" s="420"/>
      <c r="B23" s="420"/>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77"/>
      <c r="AF23" s="77"/>
      <c r="AG23" s="77"/>
      <c r="AH23" s="77"/>
      <c r="AI23" s="77"/>
      <c r="AJ23" s="77"/>
      <c r="AK23" s="77"/>
    </row>
    <row r="24" spans="1:149" s="9" customFormat="1" ht="18" customHeight="1" thickBot="1">
      <c r="A24" s="87"/>
      <c r="B24" s="794" t="s">
        <v>10</v>
      </c>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E24" s="11"/>
      <c r="AF24" s="11"/>
      <c r="AG24" s="11"/>
      <c r="AH24" s="11"/>
      <c r="AI24" s="11"/>
      <c r="AJ24" s="11"/>
      <c r="AK24" s="11"/>
    </row>
    <row r="25" spans="1:149" ht="16" customHeight="1" thickTop="1">
      <c r="B25" s="121" t="s">
        <v>3</v>
      </c>
      <c r="C25" s="937" t="s">
        <v>9</v>
      </c>
      <c r="D25" s="938"/>
      <c r="E25" s="938"/>
      <c r="F25" s="937" t="s">
        <v>308</v>
      </c>
      <c r="G25" s="938"/>
      <c r="H25" s="938"/>
      <c r="I25" s="938"/>
      <c r="J25" s="938"/>
      <c r="K25" s="938"/>
      <c r="L25" s="938"/>
      <c r="M25" s="938"/>
      <c r="N25" s="939"/>
      <c r="O25" s="820" t="s">
        <v>20</v>
      </c>
      <c r="P25" s="820"/>
      <c r="Q25" s="820"/>
      <c r="R25" s="820"/>
      <c r="S25" s="820"/>
      <c r="T25" s="820"/>
      <c r="U25" s="820"/>
      <c r="V25" s="820"/>
      <c r="W25" s="820"/>
      <c r="X25" s="820"/>
      <c r="Y25" s="820"/>
      <c r="Z25" s="820"/>
      <c r="AA25" s="820"/>
      <c r="AB25" s="820"/>
      <c r="AC25" s="821"/>
    </row>
    <row r="26" spans="1:149" ht="19" customHeight="1">
      <c r="B26" s="122">
        <v>1</v>
      </c>
      <c r="C26" s="902"/>
      <c r="D26" s="903"/>
      <c r="E26" s="903"/>
      <c r="F26" s="799"/>
      <c r="G26" s="800"/>
      <c r="H26" s="800"/>
      <c r="I26" s="800"/>
      <c r="J26" s="800"/>
      <c r="K26" s="800"/>
      <c r="L26" s="800"/>
      <c r="M26" s="800"/>
      <c r="N26" s="801"/>
      <c r="O26" s="822"/>
      <c r="P26" s="822"/>
      <c r="Q26" s="822"/>
      <c r="R26" s="822"/>
      <c r="S26" s="822"/>
      <c r="T26" s="822"/>
      <c r="U26" s="822"/>
      <c r="V26" s="822"/>
      <c r="W26" s="822"/>
      <c r="X26" s="822"/>
      <c r="Y26" s="822"/>
      <c r="Z26" s="822"/>
      <c r="AA26" s="822"/>
      <c r="AB26" s="822"/>
      <c r="AC26" s="823"/>
    </row>
    <row r="27" spans="1:149" ht="19" customHeight="1">
      <c r="B27" s="122">
        <v>2</v>
      </c>
      <c r="C27" s="902"/>
      <c r="D27" s="903"/>
      <c r="E27" s="903"/>
      <c r="F27" s="799"/>
      <c r="G27" s="800"/>
      <c r="H27" s="800"/>
      <c r="I27" s="800"/>
      <c r="J27" s="800"/>
      <c r="K27" s="800"/>
      <c r="L27" s="800"/>
      <c r="M27" s="800"/>
      <c r="N27" s="801"/>
      <c r="O27" s="927"/>
      <c r="P27" s="927"/>
      <c r="Q27" s="927"/>
      <c r="R27" s="927"/>
      <c r="S27" s="927"/>
      <c r="T27" s="927"/>
      <c r="U27" s="927"/>
      <c r="V27" s="927"/>
      <c r="W27" s="927"/>
      <c r="X27" s="927"/>
      <c r="Y27" s="927"/>
      <c r="Z27" s="927"/>
      <c r="AA27" s="927"/>
      <c r="AB27" s="927"/>
      <c r="AC27" s="928"/>
    </row>
    <row r="28" spans="1:149" ht="19" customHeight="1">
      <c r="B28" s="122">
        <v>3</v>
      </c>
      <c r="C28" s="902"/>
      <c r="D28" s="903"/>
      <c r="E28" s="903"/>
      <c r="F28" s="799"/>
      <c r="G28" s="800"/>
      <c r="H28" s="800"/>
      <c r="I28" s="800"/>
      <c r="J28" s="800"/>
      <c r="K28" s="800"/>
      <c r="L28" s="800"/>
      <c r="M28" s="800"/>
      <c r="N28" s="801"/>
      <c r="O28" s="925"/>
      <c r="P28" s="926"/>
      <c r="Q28" s="926"/>
      <c r="R28" s="926"/>
      <c r="S28" s="926"/>
      <c r="T28" s="926"/>
      <c r="U28" s="926"/>
      <c r="V28" s="926"/>
      <c r="W28" s="926"/>
      <c r="X28" s="926"/>
      <c r="Y28" s="926"/>
      <c r="Z28" s="926"/>
      <c r="AA28" s="926"/>
      <c r="AB28" s="926"/>
      <c r="AC28" s="926"/>
    </row>
    <row r="29" spans="1:149" ht="19" customHeight="1">
      <c r="B29" s="122">
        <v>4</v>
      </c>
      <c r="C29" s="902"/>
      <c r="D29" s="903"/>
      <c r="E29" s="903"/>
      <c r="F29" s="799"/>
      <c r="G29" s="800"/>
      <c r="H29" s="800"/>
      <c r="I29" s="800"/>
      <c r="J29" s="800"/>
      <c r="K29" s="800"/>
      <c r="L29" s="800"/>
      <c r="M29" s="800"/>
      <c r="N29" s="801"/>
      <c r="O29" s="925"/>
      <c r="P29" s="926"/>
      <c r="Q29" s="926"/>
      <c r="R29" s="926"/>
      <c r="S29" s="926"/>
      <c r="T29" s="926"/>
      <c r="U29" s="926"/>
      <c r="V29" s="926"/>
      <c r="W29" s="926"/>
      <c r="X29" s="926"/>
      <c r="Y29" s="926"/>
      <c r="Z29" s="926"/>
      <c r="AA29" s="926"/>
      <c r="AB29" s="926"/>
      <c r="AC29" s="926"/>
    </row>
    <row r="30" spans="1:149" ht="19" customHeight="1">
      <c r="B30" s="122">
        <v>5</v>
      </c>
      <c r="C30" s="902"/>
      <c r="D30" s="903"/>
      <c r="E30" s="903"/>
      <c r="F30" s="799"/>
      <c r="G30" s="800"/>
      <c r="H30" s="800"/>
      <c r="I30" s="800"/>
      <c r="J30" s="800"/>
      <c r="K30" s="800"/>
      <c r="L30" s="800"/>
      <c r="M30" s="800"/>
      <c r="N30" s="801"/>
      <c r="O30" s="904"/>
      <c r="P30" s="905"/>
      <c r="Q30" s="905"/>
      <c r="R30" s="905"/>
      <c r="S30" s="905"/>
      <c r="T30" s="905"/>
      <c r="U30" s="905"/>
      <c r="V30" s="905"/>
      <c r="W30" s="905"/>
      <c r="X30" s="905"/>
      <c r="Y30" s="905"/>
      <c r="Z30" s="905"/>
      <c r="AA30" s="905"/>
      <c r="AB30" s="905"/>
      <c r="AC30" s="905"/>
      <c r="AE30" s="76"/>
      <c r="AF30" s="76"/>
      <c r="AG30" s="76"/>
      <c r="AH30" s="76"/>
      <c r="AI30" s="76"/>
      <c r="AJ30" s="76"/>
      <c r="AK30" s="76"/>
    </row>
    <row r="31" spans="1:149" ht="19" customHeight="1">
      <c r="B31" s="122">
        <v>6</v>
      </c>
      <c r="C31" s="902"/>
      <c r="D31" s="903"/>
      <c r="E31" s="903"/>
      <c r="F31" s="799"/>
      <c r="G31" s="800"/>
      <c r="H31" s="800"/>
      <c r="I31" s="800"/>
      <c r="J31" s="800"/>
      <c r="K31" s="800"/>
      <c r="L31" s="800"/>
      <c r="M31" s="800"/>
      <c r="N31" s="801"/>
      <c r="O31" s="925"/>
      <c r="P31" s="926"/>
      <c r="Q31" s="926"/>
      <c r="R31" s="926"/>
      <c r="S31" s="926"/>
      <c r="T31" s="926"/>
      <c r="U31" s="926"/>
      <c r="V31" s="926"/>
      <c r="W31" s="926"/>
      <c r="X31" s="926"/>
      <c r="Y31" s="926"/>
      <c r="Z31" s="926"/>
      <c r="AA31" s="926"/>
      <c r="AB31" s="926"/>
      <c r="AC31" s="926"/>
    </row>
    <row r="32" spans="1:149" ht="19" customHeight="1">
      <c r="B32" s="122">
        <v>7</v>
      </c>
      <c r="C32" s="902"/>
      <c r="D32" s="903"/>
      <c r="E32" s="903"/>
      <c r="F32" s="799"/>
      <c r="G32" s="800"/>
      <c r="H32" s="800"/>
      <c r="I32" s="800"/>
      <c r="J32" s="800"/>
      <c r="K32" s="800"/>
      <c r="L32" s="800"/>
      <c r="M32" s="800"/>
      <c r="N32" s="801"/>
      <c r="O32" s="925"/>
      <c r="P32" s="926"/>
      <c r="Q32" s="926"/>
      <c r="R32" s="926"/>
      <c r="S32" s="926"/>
      <c r="T32" s="926"/>
      <c r="U32" s="926"/>
      <c r="V32" s="926"/>
      <c r="W32" s="926"/>
      <c r="X32" s="926"/>
      <c r="Y32" s="926"/>
      <c r="Z32" s="926"/>
      <c r="AA32" s="926"/>
      <c r="AB32" s="926"/>
      <c r="AC32" s="926"/>
    </row>
    <row r="33" spans="1:149" ht="19" customHeight="1">
      <c r="B33" s="122">
        <v>8</v>
      </c>
      <c r="C33" s="902"/>
      <c r="D33" s="903"/>
      <c r="E33" s="903"/>
      <c r="F33" s="799"/>
      <c r="G33" s="800"/>
      <c r="H33" s="800"/>
      <c r="I33" s="800"/>
      <c r="J33" s="800"/>
      <c r="K33" s="800"/>
      <c r="L33" s="800"/>
      <c r="M33" s="800"/>
      <c r="N33" s="801"/>
      <c r="O33" s="925"/>
      <c r="P33" s="926"/>
      <c r="Q33" s="926"/>
      <c r="R33" s="926"/>
      <c r="S33" s="926"/>
      <c r="T33" s="926"/>
      <c r="U33" s="926"/>
      <c r="V33" s="926"/>
      <c r="W33" s="926"/>
      <c r="X33" s="926"/>
      <c r="Y33" s="926"/>
      <c r="Z33" s="926"/>
      <c r="AA33" s="926"/>
      <c r="AB33" s="926"/>
      <c r="AC33" s="926"/>
    </row>
    <row r="34" spans="1:149" ht="19" customHeight="1">
      <c r="B34" s="122">
        <v>9</v>
      </c>
      <c r="C34" s="902"/>
      <c r="D34" s="903"/>
      <c r="E34" s="903"/>
      <c r="F34" s="799"/>
      <c r="G34" s="800"/>
      <c r="H34" s="800"/>
      <c r="I34" s="800"/>
      <c r="J34" s="800"/>
      <c r="K34" s="800"/>
      <c r="L34" s="800"/>
      <c r="M34" s="800"/>
      <c r="N34" s="801"/>
      <c r="O34" s="906"/>
      <c r="P34" s="906"/>
      <c r="Q34" s="906"/>
      <c r="R34" s="906"/>
      <c r="S34" s="906"/>
      <c r="T34" s="906"/>
      <c r="U34" s="906"/>
      <c r="V34" s="906"/>
      <c r="W34" s="906"/>
      <c r="X34" s="906"/>
      <c r="Y34" s="906"/>
      <c r="Z34" s="906"/>
      <c r="AA34" s="906"/>
      <c r="AB34" s="906"/>
      <c r="AC34" s="907"/>
    </row>
    <row r="35" spans="1:149" ht="19" customHeight="1">
      <c r="B35" s="122">
        <v>10</v>
      </c>
      <c r="C35" s="902"/>
      <c r="D35" s="903"/>
      <c r="E35" s="903"/>
      <c r="F35" s="799"/>
      <c r="G35" s="800"/>
      <c r="H35" s="800"/>
      <c r="I35" s="800"/>
      <c r="J35" s="800"/>
      <c r="K35" s="800"/>
      <c r="L35" s="800"/>
      <c r="M35" s="800"/>
      <c r="N35" s="801"/>
      <c r="O35" s="900"/>
      <c r="P35" s="900"/>
      <c r="Q35" s="900"/>
      <c r="R35" s="900"/>
      <c r="S35" s="900"/>
      <c r="T35" s="900"/>
      <c r="U35" s="900"/>
      <c r="V35" s="900"/>
      <c r="W35" s="900"/>
      <c r="X35" s="900"/>
      <c r="Y35" s="900"/>
      <c r="Z35" s="900"/>
      <c r="AA35" s="900"/>
      <c r="AB35" s="900"/>
      <c r="AC35" s="901"/>
      <c r="AE35" s="76"/>
      <c r="AF35" s="76"/>
      <c r="AG35" s="76"/>
      <c r="AH35" s="76"/>
      <c r="AI35" s="76"/>
      <c r="AJ35" s="76"/>
      <c r="AK35" s="76"/>
    </row>
    <row r="36" spans="1:149" ht="4" customHeight="1">
      <c r="A36" s="485"/>
      <c r="B36" s="485"/>
      <c r="C36" s="485"/>
      <c r="D36" s="485"/>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row>
    <row r="37" spans="1:149" s="9" customFormat="1" ht="18" customHeight="1" thickBot="1">
      <c r="A37" s="87"/>
      <c r="B37" s="846" t="s">
        <v>131</v>
      </c>
      <c r="C37" s="846"/>
      <c r="D37" s="847"/>
      <c r="E37" s="847"/>
      <c r="F37" s="847"/>
      <c r="G37" s="847"/>
      <c r="H37" s="847"/>
      <c r="I37" s="847"/>
      <c r="J37" s="847"/>
      <c r="K37" s="847"/>
      <c r="L37" s="847"/>
      <c r="M37" s="847"/>
      <c r="N37" s="847"/>
      <c r="O37" s="847"/>
      <c r="P37" s="847"/>
      <c r="Q37" s="847"/>
      <c r="R37" s="847"/>
      <c r="S37" s="847"/>
      <c r="T37" s="847"/>
      <c r="U37" s="847"/>
      <c r="V37" s="847"/>
      <c r="W37" s="847"/>
      <c r="X37" s="847"/>
      <c r="Y37" s="847"/>
      <c r="Z37" s="847"/>
      <c r="AA37" s="847"/>
      <c r="AB37" s="847"/>
      <c r="AC37" s="848"/>
      <c r="AE37" s="11"/>
      <c r="AF37" s="11"/>
      <c r="AG37" s="11"/>
      <c r="AH37" s="11"/>
      <c r="AI37" s="11"/>
      <c r="AJ37" s="11"/>
      <c r="AK37" s="11"/>
    </row>
    <row r="38" spans="1:149" ht="17" customHeight="1" thickTop="1">
      <c r="A38" s="17"/>
      <c r="B38" s="783" t="s">
        <v>288</v>
      </c>
      <c r="C38" s="783"/>
      <c r="D38" s="783"/>
      <c r="E38" s="783"/>
      <c r="F38" s="783" t="s">
        <v>201</v>
      </c>
      <c r="G38" s="783"/>
      <c r="H38" s="783"/>
      <c r="I38" s="783"/>
      <c r="J38" s="783" t="s">
        <v>200</v>
      </c>
      <c r="K38" s="783"/>
      <c r="L38" s="783"/>
      <c r="M38" s="783"/>
      <c r="N38" s="783" t="s">
        <v>290</v>
      </c>
      <c r="O38" s="783"/>
      <c r="P38" s="783"/>
      <c r="Q38" s="783"/>
      <c r="R38" s="783" t="s">
        <v>284</v>
      </c>
      <c r="S38" s="783"/>
      <c r="T38" s="783"/>
      <c r="U38" s="783"/>
      <c r="V38" s="783" t="s">
        <v>285</v>
      </c>
      <c r="W38" s="783"/>
      <c r="X38" s="783"/>
      <c r="Y38" s="783"/>
      <c r="Z38" s="911" t="s">
        <v>286</v>
      </c>
      <c r="AA38" s="911"/>
      <c r="AB38" s="911"/>
      <c r="AC38" s="911"/>
    </row>
    <row r="39" spans="1:149" ht="17" customHeight="1">
      <c r="A39" s="17"/>
      <c r="B39" s="854" t="str">
        <f>IF(Y92=1,X92,X93)</f>
        <v>not processed</v>
      </c>
      <c r="C39" s="854"/>
      <c r="D39" s="854"/>
      <c r="E39" s="854"/>
      <c r="F39" s="855" t="str">
        <f>IF(AGREEMENT!J29&gt;0,"$"&amp;AGREEMENT!J29,"$0.00")</f>
        <v>$150</v>
      </c>
      <c r="G39" s="855"/>
      <c r="H39" s="855"/>
      <c r="I39" s="855"/>
      <c r="J39" s="855" t="str">
        <f>IF('FACT 1'!$AA$96=1,'FACT 1'!$O$93,IF('FACT 1'!$AA$96=2,'FACT 1'!$O$94,IF('FACT 1'!$AA$96=3,'FACT 1'!$O$95,IF('FACT 1'!$AA$96=4,'FACT 1'!$O$96,IF('FACT 1'!$AA$96=5,'FACT 1'!$O$97,IF('FACT 1'!$AA$96=6,'FACT 1'!$O$98,))))))</f>
        <v>credit card</v>
      </c>
      <c r="K39" s="855"/>
      <c r="L39" s="855"/>
      <c r="M39" s="855"/>
      <c r="N39" s="913"/>
      <c r="O39" s="913"/>
      <c r="P39" s="913"/>
      <c r="Q39" s="913"/>
      <c r="R39" s="913"/>
      <c r="S39" s="913"/>
      <c r="T39" s="913"/>
      <c r="U39" s="913"/>
      <c r="V39" s="908"/>
      <c r="W39" s="909"/>
      <c r="X39" s="909"/>
      <c r="Y39" s="910"/>
      <c r="Z39" s="912"/>
      <c r="AA39" s="912"/>
      <c r="AB39" s="912"/>
      <c r="AC39" s="912"/>
    </row>
    <row r="40" spans="1:149" s="61" customFormat="1" ht="4" customHeight="1">
      <c r="A40" s="597"/>
      <c r="B40" s="597"/>
      <c r="C40" s="597"/>
      <c r="D40" s="597"/>
      <c r="E40" s="597"/>
      <c r="F40" s="597"/>
      <c r="G40" s="597"/>
      <c r="H40" s="597"/>
      <c r="I40" s="597"/>
      <c r="J40" s="597"/>
      <c r="K40" s="597"/>
      <c r="L40" s="597"/>
      <c r="M40" s="597"/>
      <c r="N40" s="597"/>
      <c r="O40" s="597"/>
      <c r="P40" s="597"/>
      <c r="Q40" s="597"/>
      <c r="R40" s="597"/>
      <c r="S40" s="597"/>
      <c r="T40" s="597"/>
      <c r="U40" s="597"/>
      <c r="V40" s="597"/>
      <c r="W40" s="597"/>
      <c r="X40" s="597"/>
      <c r="Y40" s="597"/>
      <c r="Z40" s="597"/>
      <c r="AA40" s="597"/>
      <c r="AB40" s="597"/>
      <c r="AC40" s="597"/>
      <c r="AD40" s="597"/>
      <c r="AE40" s="60"/>
      <c r="AF40" s="60"/>
      <c r="AG40" s="60"/>
      <c r="AH40" s="60"/>
      <c r="AI40" s="60"/>
      <c r="AJ40" s="60"/>
      <c r="AK40" s="60"/>
    </row>
    <row r="41" spans="1:149" s="9" customFormat="1" ht="18" customHeight="1" thickBot="1">
      <c r="A41" s="87"/>
      <c r="B41" s="794" t="s">
        <v>307</v>
      </c>
      <c r="C41" s="794"/>
      <c r="D41" s="794"/>
      <c r="E41" s="794"/>
      <c r="F41" s="794"/>
      <c r="G41" s="794"/>
      <c r="H41" s="794"/>
      <c r="I41" s="794"/>
      <c r="J41" s="794"/>
      <c r="K41" s="794"/>
      <c r="L41" s="794"/>
      <c r="M41" s="794"/>
      <c r="N41" s="794"/>
      <c r="O41" s="794"/>
      <c r="P41" s="794"/>
      <c r="Q41" s="794"/>
      <c r="R41" s="794"/>
      <c r="S41" s="794"/>
      <c r="T41" s="794"/>
      <c r="U41" s="794"/>
      <c r="V41" s="794"/>
      <c r="W41" s="794"/>
      <c r="X41" s="794"/>
      <c r="Y41" s="794"/>
      <c r="Z41" s="794"/>
      <c r="AA41" s="794"/>
      <c r="AB41" s="794"/>
      <c r="AC41" s="794"/>
      <c r="AE41" s="11"/>
      <c r="AF41" s="11"/>
      <c r="AG41" s="11"/>
      <c r="AH41" s="11"/>
      <c r="AI41" s="11"/>
      <c r="AJ41" s="11"/>
      <c r="AK41" s="11"/>
    </row>
    <row r="42" spans="1:149" ht="17" customHeight="1" thickTop="1">
      <c r="A42" s="17"/>
      <c r="B42" s="783" t="s">
        <v>366</v>
      </c>
      <c r="C42" s="783"/>
      <c r="D42" s="783"/>
      <c r="E42" s="783"/>
      <c r="F42" s="783" t="s">
        <v>205</v>
      </c>
      <c r="G42" s="783"/>
      <c r="H42" s="783"/>
      <c r="I42" s="783"/>
      <c r="J42" s="783"/>
      <c r="K42" s="783" t="s">
        <v>228</v>
      </c>
      <c r="L42" s="783"/>
      <c r="M42" s="783"/>
      <c r="N42" s="783"/>
      <c r="O42" s="783"/>
      <c r="P42" s="911" t="s">
        <v>209</v>
      </c>
      <c r="Q42" s="911"/>
      <c r="R42" s="911"/>
      <c r="S42" s="911"/>
      <c r="T42" s="911"/>
      <c r="U42" s="783" t="str">
        <f>IF(AGREEMENT!N29&gt;0.19,"service fee %","administration fee %")</f>
        <v>service fee %</v>
      </c>
      <c r="V42" s="783"/>
      <c r="W42" s="783"/>
      <c r="X42" s="783"/>
      <c r="Y42" s="783"/>
      <c r="Z42" s="783" t="s">
        <v>296</v>
      </c>
      <c r="AA42" s="783"/>
      <c r="AB42" s="783"/>
      <c r="AC42" s="783"/>
    </row>
    <row r="43" spans="1:149" ht="17" customHeight="1">
      <c r="A43" s="17"/>
      <c r="B43" s="854" t="str">
        <f>IF(AGREEMENT!U43&gt;0,AGREEMENT!U43,"")</f>
        <v>JJ Weiner</v>
      </c>
      <c r="C43" s="854"/>
      <c r="D43" s="854"/>
      <c r="E43" s="854"/>
      <c r="F43" s="962" t="str">
        <f>IF(AGREEMENT!$Y$126=1,AGREEMENT!$R$135,IF(AGREEMENT!$Y$126=2,AGREEMENT!$R$136,IF(AGREEMENT!$Y$126=3,AGREEMENT!$R$137,IF(AGREEMENT!$Y$126=4,AGREEMENT!$R$138,IF(AGREEMENT!$Y$126=5,AGREEMENT!$R$139)))))</f>
        <v>credit card</v>
      </c>
      <c r="G43" s="962"/>
      <c r="H43" s="962"/>
      <c r="I43" s="962"/>
      <c r="J43" s="962"/>
      <c r="K43" s="961">
        <f>IF(AGREEMENT!W29&gt;0,AGREEMENT!W29,"???")</f>
        <v>800</v>
      </c>
      <c r="L43" s="961"/>
      <c r="M43" s="961"/>
      <c r="N43" s="961"/>
      <c r="O43" s="961"/>
      <c r="P43" s="854" t="str">
        <f>(AGREEMENT!R29-P104)&amp;" guests"</f>
        <v>18 guests</v>
      </c>
      <c r="Q43" s="854"/>
      <c r="R43" s="854"/>
      <c r="S43" s="854"/>
      <c r="T43" s="854"/>
      <c r="U43" s="960">
        <f>IF(AGREEMENT!N29&gt;0,AGREEMENT!N29,"")</f>
        <v>0.22</v>
      </c>
      <c r="V43" s="960"/>
      <c r="W43" s="960"/>
      <c r="X43" s="960"/>
      <c r="Y43" s="960"/>
      <c r="Z43" s="963">
        <v>0</v>
      </c>
      <c r="AA43" s="964"/>
      <c r="AB43" s="964"/>
      <c r="AC43" s="965"/>
    </row>
    <row r="44" spans="1:149" s="1" customFormat="1" ht="2" customHeight="1">
      <c r="B44" s="851"/>
      <c r="C44" s="851"/>
      <c r="D44" s="851"/>
      <c r="E44" s="851"/>
      <c r="F44" s="851"/>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row>
    <row r="45" spans="1:149" s="153" customFormat="1" ht="17" customHeight="1">
      <c r="B45" s="853" t="s">
        <v>291</v>
      </c>
      <c r="C45" s="853"/>
      <c r="D45" s="853"/>
      <c r="E45" s="853"/>
      <c r="F45" s="932" t="s">
        <v>292</v>
      </c>
      <c r="G45" s="932"/>
      <c r="H45" s="932"/>
      <c r="I45" s="932"/>
      <c r="J45" s="852" t="s">
        <v>19</v>
      </c>
      <c r="K45" s="852"/>
      <c r="L45" s="852"/>
      <c r="M45" s="852"/>
      <c r="N45" s="852" t="s">
        <v>210</v>
      </c>
      <c r="O45" s="852"/>
      <c r="P45" s="852"/>
      <c r="Q45" s="852"/>
      <c r="R45" s="853" t="s">
        <v>358</v>
      </c>
      <c r="S45" s="853"/>
      <c r="T45" s="853"/>
      <c r="U45" s="853"/>
      <c r="V45" s="853" t="s">
        <v>359</v>
      </c>
      <c r="W45" s="853"/>
      <c r="X45" s="853"/>
      <c r="Y45" s="853"/>
      <c r="Z45" s="852" t="s">
        <v>360</v>
      </c>
      <c r="AA45" s="852"/>
      <c r="AB45" s="852"/>
      <c r="AC45" s="852"/>
      <c r="AD45" s="118" t="s">
        <v>235</v>
      </c>
      <c r="AE45" s="154"/>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row>
    <row r="46" spans="1:149" s="58" customFormat="1" ht="17" customHeight="1">
      <c r="B46" s="876" t="s">
        <v>361</v>
      </c>
      <c r="C46" s="876"/>
      <c r="D46" s="876"/>
      <c r="E46" s="876"/>
      <c r="F46" s="877" t="s">
        <v>362</v>
      </c>
      <c r="G46" s="877"/>
      <c r="H46" s="877"/>
      <c r="I46" s="877"/>
      <c r="J46" s="826"/>
      <c r="K46" s="826"/>
      <c r="L46" s="826"/>
      <c r="M46" s="826"/>
      <c r="N46" s="826"/>
      <c r="O46" s="826"/>
      <c r="P46" s="826"/>
      <c r="Q46" s="826"/>
      <c r="R46" s="826"/>
      <c r="S46" s="826"/>
      <c r="T46" s="826"/>
      <c r="U46" s="826"/>
      <c r="V46" s="826" t="s">
        <v>377</v>
      </c>
      <c r="W46" s="826"/>
      <c r="X46" s="826"/>
      <c r="Y46" s="826"/>
      <c r="Z46" s="878"/>
      <c r="AA46" s="879"/>
      <c r="AB46" s="879"/>
      <c r="AC46" s="880"/>
      <c r="AD46" s="123"/>
      <c r="AE46" s="124"/>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row>
    <row r="47" spans="1:149" s="1" customFormat="1" ht="2" customHeight="1">
      <c r="B47" s="886"/>
      <c r="C47" s="886"/>
      <c r="D47" s="886"/>
      <c r="E47" s="886"/>
      <c r="F47" s="886"/>
      <c r="G47" s="886"/>
      <c r="H47" s="886"/>
      <c r="I47" s="886"/>
      <c r="J47" s="886"/>
      <c r="K47" s="886"/>
      <c r="L47" s="886"/>
      <c r="M47" s="886"/>
      <c r="N47" s="886"/>
      <c r="O47" s="886"/>
      <c r="P47" s="886"/>
      <c r="Q47" s="886"/>
      <c r="R47" s="886"/>
      <c r="S47" s="886"/>
      <c r="T47" s="886"/>
      <c r="U47" s="886"/>
      <c r="V47" s="886"/>
      <c r="W47" s="886"/>
      <c r="X47" s="886"/>
      <c r="Y47" s="886"/>
      <c r="Z47" s="886"/>
      <c r="AA47" s="886"/>
      <c r="AB47" s="886"/>
      <c r="AC47" s="886"/>
    </row>
    <row r="48" spans="1:149" ht="40" customHeight="1">
      <c r="A48" s="17"/>
      <c r="B48" s="881" t="s">
        <v>310</v>
      </c>
      <c r="C48" s="882"/>
      <c r="D48" s="882"/>
      <c r="E48" s="882"/>
      <c r="F48" s="883" t="s">
        <v>378</v>
      </c>
      <c r="G48" s="884"/>
      <c r="H48" s="884"/>
      <c r="I48" s="884"/>
      <c r="J48" s="884"/>
      <c r="K48" s="884"/>
      <c r="L48" s="884"/>
      <c r="M48" s="884"/>
      <c r="N48" s="884"/>
      <c r="O48" s="884"/>
      <c r="P48" s="884"/>
      <c r="Q48" s="884"/>
      <c r="R48" s="884"/>
      <c r="S48" s="884"/>
      <c r="T48" s="884"/>
      <c r="U48" s="884"/>
      <c r="V48" s="884"/>
      <c r="W48" s="884"/>
      <c r="X48" s="884"/>
      <c r="Y48" s="884"/>
      <c r="Z48" s="884"/>
      <c r="AA48" s="884"/>
      <c r="AB48" s="884"/>
      <c r="AC48" s="885"/>
      <c r="AD48" s="125"/>
      <c r="AE48" s="76"/>
      <c r="AF48" s="76"/>
      <c r="AG48" s="76"/>
      <c r="AH48" s="76"/>
      <c r="AI48" s="76"/>
      <c r="AJ48" s="76"/>
      <c r="AK48" s="76"/>
    </row>
    <row r="49" spans="1:37" ht="1" customHeight="1">
      <c r="F49" s="153"/>
      <c r="G49" s="153"/>
      <c r="H49" s="153"/>
      <c r="I49" s="153"/>
      <c r="J49" s="153"/>
      <c r="W49" s="153"/>
      <c r="X49" s="153"/>
      <c r="Y49" s="153"/>
      <c r="Z49" s="153"/>
      <c r="AA49" s="153"/>
      <c r="AB49" s="153"/>
    </row>
    <row r="50" spans="1:37" ht="2" customHeight="1"/>
    <row r="51" spans="1:37" s="57" customFormat="1" ht="20" customHeight="1">
      <c r="A51" s="63"/>
      <c r="B51" s="844" t="s">
        <v>99</v>
      </c>
      <c r="C51" s="845"/>
      <c r="D51" s="845"/>
      <c r="E51" s="845"/>
      <c r="F51" s="864" t="str">
        <f>IF(AGREEMENT!$D$13&gt;0,
(IF(AGREEMENT!$Q$13&gt;0,
("  "&amp;AGREEMENT!$D$13&amp;" ("&amp;AGREEMENT!$Q$13&amp;")"),
"  "&amp;AGREEMENT!$D$13&amp;""))," "&amp;AGREEMENT!$Q$13)</f>
        <v xml:space="preserve"> </v>
      </c>
      <c r="G51" s="864"/>
      <c r="H51" s="864"/>
      <c r="I51" s="864"/>
      <c r="J51" s="864"/>
      <c r="K51" s="864"/>
      <c r="L51" s="864"/>
      <c r="M51" s="864"/>
      <c r="N51" s="864"/>
      <c r="O51" s="864"/>
      <c r="P51" s="864"/>
      <c r="Q51" s="864"/>
      <c r="R51" s="864"/>
      <c r="S51" s="864"/>
      <c r="T51" s="864"/>
      <c r="U51" s="923" t="str">
        <f>IF(AGREEMENT!$B$22&gt;0,CONCATENATE((TEXT(AGREEMENT!$B$22,"DDDD"))&amp;", "&amp;(TEXT(AGREEMENT!$B$22,"MMMM"))&amp;" "&amp;(TEXT(AGREEMENT!$B$22,"d"))&amp;", "&amp;(TEXT(AGREEMENT!$B$22,"yyyy"))&amp;" @ "&amp;(TEXT(AGREEMENT!D22,"h:mm am/pm"))),"")</f>
        <v>Tuesday, June 21, 2016 @ 12:30 PM</v>
      </c>
      <c r="V51" s="923"/>
      <c r="W51" s="923"/>
      <c r="X51" s="923"/>
      <c r="Y51" s="923"/>
      <c r="Z51" s="923"/>
      <c r="AA51" s="923"/>
      <c r="AB51" s="923"/>
      <c r="AC51" s="924"/>
      <c r="AD51" s="63"/>
      <c r="AE51" s="10"/>
      <c r="AF51" s="10"/>
      <c r="AG51" s="10"/>
      <c r="AH51" s="10"/>
      <c r="AI51" s="10"/>
      <c r="AJ51" s="10"/>
      <c r="AK51" s="10"/>
    </row>
    <row r="52" spans="1:37" s="17" customFormat="1" ht="4" customHeight="1">
      <c r="A52" s="875"/>
      <c r="B52" s="875"/>
      <c r="C52" s="875"/>
      <c r="D52" s="875"/>
      <c r="E52" s="875"/>
      <c r="F52" s="875"/>
      <c r="G52" s="875"/>
      <c r="H52" s="875"/>
      <c r="I52" s="875"/>
      <c r="J52" s="875"/>
      <c r="K52" s="875"/>
      <c r="L52" s="875"/>
      <c r="M52" s="875"/>
      <c r="N52" s="875"/>
      <c r="O52" s="875"/>
      <c r="P52" s="875"/>
      <c r="Q52" s="875"/>
      <c r="R52" s="875"/>
      <c r="S52" s="875"/>
      <c r="T52" s="875"/>
      <c r="U52" s="875"/>
      <c r="V52" s="875"/>
      <c r="W52" s="875"/>
      <c r="X52" s="875"/>
      <c r="Y52" s="875"/>
      <c r="Z52" s="875"/>
      <c r="AA52" s="875"/>
      <c r="AB52" s="875"/>
      <c r="AC52" s="875"/>
      <c r="AD52" s="875"/>
      <c r="AE52" s="10"/>
      <c r="AF52" s="10"/>
      <c r="AG52" s="10"/>
      <c r="AH52" s="10"/>
      <c r="AI52" s="10"/>
      <c r="AJ52" s="10"/>
      <c r="AK52" s="10"/>
    </row>
    <row r="53" spans="1:37" s="66" customFormat="1" ht="20" customHeight="1">
      <c r="A53" s="64"/>
      <c r="B53" s="862" t="str">
        <f>IF($Z$19&gt;0,"room: "&amp;$Z$19,"missing")</f>
        <v>room: rotunda</v>
      </c>
      <c r="C53" s="832"/>
      <c r="D53" s="832"/>
      <c r="E53" s="832"/>
      <c r="F53" s="831" t="str">
        <f>IF($R$22&gt;0,"bar: "&amp;$R$22,"")</f>
        <v>bar: none</v>
      </c>
      <c r="G53" s="831"/>
      <c r="H53" s="831"/>
      <c r="I53" s="831"/>
      <c r="J53" s="832" t="str">
        <f>IF($V$22&gt;0,"food: "&amp;$V$22,"")</f>
        <v>food: plated</v>
      </c>
      <c r="K53" s="832"/>
      <c r="L53" s="832"/>
      <c r="M53" s="832"/>
      <c r="N53" s="825" t="str">
        <f>IF((AGREEMENT!$R$29-'FACT 1'!$P$104)&gt;0,"guests: "&amp;(AGREEMENT!$R$29-'FACT 1'!$P$104),"guests: ???")</f>
        <v>guests: 18</v>
      </c>
      <c r="O53" s="825"/>
      <c r="P53" s="825"/>
      <c r="Q53" s="825"/>
      <c r="R53" s="869" t="str">
        <f>IF(AGREEMENT!$W$29&gt;0,"f&amp;b min: $"&amp;AGREEMENT!$W$29,"f&amp;b min: ???")</f>
        <v>f&amp;b min: $800</v>
      </c>
      <c r="S53" s="869"/>
      <c r="T53" s="869"/>
      <c r="U53" s="869"/>
      <c r="V53" s="870" t="str">
        <f>IF(AGREEMENT!$N$29&gt;0,"service: "&amp;100*AGREEMENT!$N$29&amp;"%","")</f>
        <v>service: 22%</v>
      </c>
      <c r="W53" s="870"/>
      <c r="X53" s="870"/>
      <c r="Y53" s="870"/>
      <c r="Z53" s="871" t="str">
        <f>IF($Z$43&gt;0,"suggested grat: "&amp;100*$Z$43&amp;"%","suggested grat: ?")</f>
        <v>suggested grat: ?</v>
      </c>
      <c r="AA53" s="871"/>
      <c r="AB53" s="871"/>
      <c r="AC53" s="872"/>
      <c r="AD53" s="64"/>
      <c r="AE53" s="65"/>
      <c r="AF53" s="65"/>
      <c r="AG53" s="65"/>
      <c r="AH53" s="65"/>
      <c r="AI53" s="65"/>
      <c r="AJ53" s="65"/>
      <c r="AK53" s="65"/>
    </row>
    <row r="54" spans="1:37" s="17" customFormat="1" ht="4" customHeight="1">
      <c r="A54" s="338"/>
      <c r="B54" s="338"/>
      <c r="C54" s="338"/>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10"/>
      <c r="AF54" s="10"/>
      <c r="AG54" s="10"/>
      <c r="AH54" s="10"/>
      <c r="AI54" s="10"/>
      <c r="AJ54" s="10"/>
      <c r="AK54" s="10"/>
    </row>
    <row r="55" spans="1:37" ht="18" customHeight="1" thickBot="1">
      <c r="A55" s="126"/>
      <c r="B55" s="827" t="s">
        <v>22</v>
      </c>
      <c r="C55" s="827"/>
      <c r="D55" s="827"/>
      <c r="E55" s="827"/>
      <c r="F55" s="827"/>
      <c r="G55" s="922"/>
      <c r="H55" s="922"/>
      <c r="I55" s="922"/>
      <c r="J55" s="922"/>
      <c r="K55" s="922"/>
      <c r="L55" s="922"/>
      <c r="M55" s="922"/>
      <c r="N55" s="922"/>
      <c r="O55" s="922"/>
      <c r="P55" s="922"/>
      <c r="Q55" s="922"/>
      <c r="R55" s="922"/>
      <c r="S55" s="922"/>
      <c r="T55" s="922"/>
      <c r="U55" s="922"/>
      <c r="V55" s="922"/>
      <c r="W55" s="922"/>
      <c r="X55" s="922"/>
      <c r="Y55" s="922"/>
      <c r="Z55" s="922"/>
      <c r="AA55" s="922"/>
      <c r="AB55" s="922"/>
      <c r="AC55" s="922"/>
    </row>
    <row r="56" spans="1:37" ht="19" customHeight="1" thickTop="1">
      <c r="B56" s="929" t="s">
        <v>106</v>
      </c>
      <c r="C56" s="930"/>
      <c r="D56" s="930"/>
      <c r="E56" s="930"/>
      <c r="F56" s="930"/>
      <c r="G56" s="930"/>
      <c r="H56" s="930"/>
      <c r="I56" s="930"/>
      <c r="J56" s="930"/>
      <c r="K56" s="930"/>
      <c r="L56" s="930"/>
      <c r="M56" s="930"/>
      <c r="N56" s="930"/>
      <c r="O56" s="930"/>
      <c r="P56" s="930"/>
      <c r="Q56" s="930"/>
      <c r="R56" s="930"/>
      <c r="S56" s="930"/>
      <c r="T56" s="930"/>
      <c r="U56" s="931"/>
      <c r="V56" s="840" t="s">
        <v>11</v>
      </c>
      <c r="W56" s="840"/>
      <c r="X56" s="840" t="s">
        <v>12</v>
      </c>
      <c r="Y56" s="840"/>
      <c r="Z56" s="840" t="s">
        <v>13</v>
      </c>
      <c r="AA56" s="840"/>
      <c r="AB56" s="840" t="s">
        <v>14</v>
      </c>
      <c r="AC56" s="840"/>
    </row>
    <row r="57" spans="1:37" ht="157" customHeight="1">
      <c r="B57" s="919"/>
      <c r="C57" s="920"/>
      <c r="D57" s="920"/>
      <c r="E57" s="920"/>
      <c r="F57" s="920"/>
      <c r="G57" s="920"/>
      <c r="H57" s="920"/>
      <c r="I57" s="920"/>
      <c r="J57" s="920"/>
      <c r="K57" s="920"/>
      <c r="L57" s="920"/>
      <c r="M57" s="920"/>
      <c r="N57" s="920"/>
      <c r="O57" s="920"/>
      <c r="P57" s="920"/>
      <c r="Q57" s="920"/>
      <c r="R57" s="920"/>
      <c r="S57" s="920"/>
      <c r="T57" s="920"/>
      <c r="U57" s="921"/>
      <c r="V57" s="914"/>
      <c r="W57" s="914"/>
      <c r="X57" s="914"/>
      <c r="Y57" s="914"/>
      <c r="Z57" s="829"/>
      <c r="AA57" s="829"/>
      <c r="AB57" s="830"/>
      <c r="AC57" s="830"/>
    </row>
    <row r="58" spans="1:37" ht="4" customHeight="1">
      <c r="A58" s="828" t="s">
        <v>107</v>
      </c>
      <c r="B58" s="485"/>
      <c r="C58" s="485"/>
      <c r="D58" s="485"/>
      <c r="E58" s="485"/>
      <c r="F58" s="485"/>
      <c r="G58" s="485"/>
      <c r="H58" s="485"/>
      <c r="I58" s="485"/>
      <c r="J58" s="485"/>
      <c r="K58" s="485"/>
      <c r="L58" s="485"/>
      <c r="M58" s="485"/>
      <c r="N58" s="485"/>
      <c r="O58" s="485"/>
      <c r="P58" s="485"/>
      <c r="Q58" s="485"/>
      <c r="R58" s="485"/>
      <c r="S58" s="485"/>
      <c r="T58" s="485"/>
      <c r="U58" s="485"/>
      <c r="V58" s="485"/>
      <c r="W58" s="485"/>
      <c r="X58" s="485"/>
      <c r="Y58" s="485"/>
      <c r="Z58" s="485"/>
      <c r="AA58" s="485"/>
      <c r="AB58" s="485"/>
      <c r="AC58" s="485"/>
      <c r="AD58" s="485"/>
    </row>
    <row r="59" spans="1:37" ht="19" customHeight="1">
      <c r="B59" s="916" t="s">
        <v>100</v>
      </c>
      <c r="C59" s="917"/>
      <c r="D59" s="917"/>
      <c r="E59" s="917"/>
      <c r="F59" s="917"/>
      <c r="G59" s="917"/>
      <c r="H59" s="917"/>
      <c r="I59" s="917"/>
      <c r="J59" s="917"/>
      <c r="K59" s="917"/>
      <c r="L59" s="917"/>
      <c r="M59" s="917"/>
      <c r="N59" s="917"/>
      <c r="O59" s="917"/>
      <c r="P59" s="917"/>
      <c r="Q59" s="917"/>
      <c r="R59" s="917"/>
      <c r="S59" s="917"/>
      <c r="T59" s="917"/>
      <c r="U59" s="918"/>
      <c r="V59" s="841" t="s">
        <v>11</v>
      </c>
      <c r="W59" s="841"/>
      <c r="X59" s="841" t="s">
        <v>12</v>
      </c>
      <c r="Y59" s="841"/>
      <c r="Z59" s="841" t="s">
        <v>13</v>
      </c>
      <c r="AA59" s="841"/>
      <c r="AB59" s="841" t="s">
        <v>14</v>
      </c>
      <c r="AC59" s="841"/>
    </row>
    <row r="60" spans="1:37" ht="234" customHeight="1">
      <c r="B60" s="919" t="s">
        <v>379</v>
      </c>
      <c r="C60" s="920"/>
      <c r="D60" s="920"/>
      <c r="E60" s="920"/>
      <c r="F60" s="920"/>
      <c r="G60" s="920"/>
      <c r="H60" s="920"/>
      <c r="I60" s="920"/>
      <c r="J60" s="920"/>
      <c r="K60" s="920"/>
      <c r="L60" s="920"/>
      <c r="M60" s="920"/>
      <c r="N60" s="920"/>
      <c r="O60" s="920"/>
      <c r="P60" s="920"/>
      <c r="Q60" s="920"/>
      <c r="R60" s="920"/>
      <c r="S60" s="920"/>
      <c r="T60" s="920"/>
      <c r="U60" s="921"/>
      <c r="V60" s="914" t="s">
        <v>57</v>
      </c>
      <c r="W60" s="914"/>
      <c r="X60" s="914">
        <v>18</v>
      </c>
      <c r="Y60" s="914"/>
      <c r="Z60" s="829" t="s">
        <v>380</v>
      </c>
      <c r="AA60" s="829"/>
      <c r="AB60" s="829"/>
      <c r="AC60" s="829"/>
    </row>
    <row r="61" spans="1:37" ht="4" customHeight="1">
      <c r="A61" s="485"/>
      <c r="B61" s="485"/>
      <c r="C61" s="485"/>
      <c r="D61" s="485"/>
      <c r="E61" s="485"/>
      <c r="F61" s="485"/>
      <c r="G61" s="485"/>
      <c r="H61" s="485"/>
      <c r="I61" s="485"/>
      <c r="J61" s="485"/>
      <c r="K61" s="485"/>
      <c r="L61" s="485"/>
      <c r="M61" s="485"/>
      <c r="N61" s="485"/>
      <c r="O61" s="485"/>
      <c r="P61" s="485"/>
      <c r="Q61" s="485"/>
      <c r="R61" s="485"/>
      <c r="S61" s="485"/>
      <c r="T61" s="485"/>
      <c r="U61" s="485"/>
      <c r="V61" s="485"/>
      <c r="W61" s="485"/>
      <c r="X61" s="485"/>
      <c r="Y61" s="485"/>
      <c r="Z61" s="485"/>
      <c r="AA61" s="485"/>
      <c r="AB61" s="485"/>
      <c r="AC61" s="485"/>
    </row>
    <row r="62" spans="1:37" ht="19" customHeight="1">
      <c r="B62" s="916" t="s">
        <v>15</v>
      </c>
      <c r="C62" s="917"/>
      <c r="D62" s="917"/>
      <c r="E62" s="917"/>
      <c r="F62" s="917"/>
      <c r="G62" s="917"/>
      <c r="H62" s="917"/>
      <c r="I62" s="917"/>
      <c r="J62" s="917"/>
      <c r="K62" s="917"/>
      <c r="L62" s="917"/>
      <c r="M62" s="917"/>
      <c r="N62" s="917"/>
      <c r="O62" s="917"/>
      <c r="P62" s="917"/>
      <c r="Q62" s="917"/>
      <c r="R62" s="917"/>
      <c r="S62" s="917"/>
      <c r="T62" s="917"/>
      <c r="U62" s="918"/>
      <c r="V62" s="841" t="s">
        <v>11</v>
      </c>
      <c r="W62" s="841"/>
      <c r="X62" s="841" t="s">
        <v>12</v>
      </c>
      <c r="Y62" s="841"/>
      <c r="Z62" s="841" t="s">
        <v>13</v>
      </c>
      <c r="AA62" s="841"/>
      <c r="AB62" s="841" t="s">
        <v>14</v>
      </c>
      <c r="AC62" s="841"/>
    </row>
    <row r="63" spans="1:37" ht="173" customHeight="1">
      <c r="B63" s="919" t="s">
        <v>381</v>
      </c>
      <c r="C63" s="920"/>
      <c r="D63" s="920"/>
      <c r="E63" s="920"/>
      <c r="F63" s="920"/>
      <c r="G63" s="920"/>
      <c r="H63" s="920"/>
      <c r="I63" s="920"/>
      <c r="J63" s="920"/>
      <c r="K63" s="920"/>
      <c r="L63" s="920"/>
      <c r="M63" s="920"/>
      <c r="N63" s="920"/>
      <c r="O63" s="920"/>
      <c r="P63" s="920"/>
      <c r="Q63" s="920"/>
      <c r="R63" s="920"/>
      <c r="S63" s="920"/>
      <c r="T63" s="920"/>
      <c r="U63" s="921"/>
      <c r="V63" s="914" t="s">
        <v>196</v>
      </c>
      <c r="W63" s="914"/>
      <c r="X63" s="915"/>
      <c r="Y63" s="915"/>
      <c r="Z63" s="863"/>
      <c r="AA63" s="863"/>
      <c r="AB63" s="863"/>
      <c r="AC63" s="863"/>
    </row>
    <row r="64" spans="1:37" ht="1" customHeight="1">
      <c r="A64" s="485"/>
      <c r="B64" s="485"/>
      <c r="C64" s="485"/>
      <c r="D64" s="485"/>
      <c r="E64" s="485"/>
      <c r="F64" s="485"/>
      <c r="G64" s="485"/>
      <c r="H64" s="485"/>
      <c r="I64" s="485"/>
      <c r="J64" s="485"/>
      <c r="K64" s="485"/>
      <c r="L64" s="485"/>
      <c r="M64" s="485"/>
      <c r="N64" s="485"/>
      <c r="O64" s="485"/>
      <c r="P64" s="485"/>
      <c r="Q64" s="485"/>
      <c r="R64" s="485"/>
      <c r="S64" s="485"/>
      <c r="T64" s="485"/>
      <c r="U64" s="485"/>
      <c r="V64" s="485"/>
      <c r="W64" s="485"/>
      <c r="X64" s="485"/>
      <c r="Y64" s="485"/>
      <c r="Z64" s="485"/>
      <c r="AA64" s="485"/>
      <c r="AB64" s="485"/>
      <c r="AC64" s="485"/>
      <c r="AD64" s="485"/>
    </row>
    <row r="65" spans="1:37" ht="2" customHeight="1"/>
    <row r="66" spans="1:37" s="57" customFormat="1" ht="21" customHeight="1">
      <c r="A66" s="67"/>
      <c r="B66" s="837" t="s">
        <v>101</v>
      </c>
      <c r="C66" s="838"/>
      <c r="D66" s="838"/>
      <c r="E66" s="838"/>
      <c r="F66" s="864" t="str">
        <f>IF(AGREEMENT!$D$13&gt;0,
(IF(AGREEMENT!$Q$13&gt;0,
("  "&amp;AGREEMENT!$D$13&amp;" ("&amp;AGREEMENT!$Q$13&amp;")"),
"  "&amp;AGREEMENT!$D$13&amp;""))," "&amp;AGREEMENT!$Q$13)</f>
        <v xml:space="preserve"> </v>
      </c>
      <c r="G66" s="864"/>
      <c r="H66" s="864"/>
      <c r="I66" s="864"/>
      <c r="J66" s="864"/>
      <c r="K66" s="864"/>
      <c r="L66" s="864"/>
      <c r="M66" s="864"/>
      <c r="N66" s="864"/>
      <c r="O66" s="864"/>
      <c r="P66" s="864"/>
      <c r="Q66" s="864"/>
      <c r="R66" s="864"/>
      <c r="S66" s="864"/>
      <c r="T66" s="864"/>
      <c r="U66" s="865" t="str">
        <f>IF(AGREEMENT!$B$22&gt;0,CONCATENATE((TEXT(AGREEMENT!$B$22,"DDDD"))&amp;", "&amp;(TEXT(AGREEMENT!$B$22,"MMMM"))&amp;" "&amp;(TEXT(AGREEMENT!$B$22,"d"))&amp;", "&amp;(TEXT(AGREEMENT!$B$22,"yyyy"))&amp;" @ "&amp;(TEXT(AGREEMENT!D22,"h:mm am/pm"))),"")</f>
        <v>Tuesday, June 21, 2016 @ 12:30 PM</v>
      </c>
      <c r="V66" s="865"/>
      <c r="W66" s="865"/>
      <c r="X66" s="865"/>
      <c r="Y66" s="865"/>
      <c r="Z66" s="865"/>
      <c r="AA66" s="865"/>
      <c r="AB66" s="865"/>
      <c r="AC66" s="866"/>
      <c r="AD66" s="63"/>
      <c r="AE66" s="10"/>
      <c r="AF66" s="10"/>
      <c r="AG66" s="10"/>
      <c r="AH66" s="10"/>
      <c r="AI66" s="10"/>
      <c r="AJ66" s="10"/>
      <c r="AK66" s="10"/>
    </row>
    <row r="67" spans="1:37" ht="7" customHeight="1">
      <c r="A67" s="899"/>
      <c r="B67" s="899"/>
      <c r="C67" s="899"/>
      <c r="D67" s="899"/>
      <c r="E67" s="899"/>
      <c r="F67" s="899"/>
      <c r="G67" s="899"/>
      <c r="H67" s="899"/>
      <c r="I67" s="899"/>
      <c r="J67" s="899"/>
      <c r="K67" s="899"/>
      <c r="L67" s="899"/>
      <c r="M67" s="899"/>
      <c r="N67" s="899"/>
      <c r="O67" s="899"/>
      <c r="P67" s="899"/>
      <c r="Q67" s="899"/>
      <c r="R67" s="899"/>
      <c r="S67" s="899"/>
      <c r="T67" s="899"/>
      <c r="U67" s="899"/>
      <c r="V67" s="899"/>
      <c r="W67" s="899"/>
      <c r="X67" s="899"/>
      <c r="Y67" s="899"/>
      <c r="Z67" s="899"/>
      <c r="AA67" s="899"/>
      <c r="AB67" s="899"/>
      <c r="AC67" s="899"/>
      <c r="AD67" s="899"/>
    </row>
    <row r="68" spans="1:37" s="66" customFormat="1" ht="20" customHeight="1">
      <c r="A68" s="64"/>
      <c r="B68" s="862" t="str">
        <f>IF($Z$19&gt;0,"room: "&amp;$Z$19,"missing")</f>
        <v>room: rotunda</v>
      </c>
      <c r="C68" s="832"/>
      <c r="D68" s="832"/>
      <c r="E68" s="832"/>
      <c r="F68" s="831" t="str">
        <f>IF($R$22&gt;0,"bar: "&amp;$R$22,"")</f>
        <v>bar: none</v>
      </c>
      <c r="G68" s="831"/>
      <c r="H68" s="831"/>
      <c r="I68" s="831"/>
      <c r="J68" s="832" t="str">
        <f>IF($V$22&gt;0,"food: "&amp;$V$22,"")</f>
        <v>food: plated</v>
      </c>
      <c r="K68" s="832"/>
      <c r="L68" s="832"/>
      <c r="M68" s="832"/>
      <c r="N68" s="825" t="str">
        <f>IF((AGREEMENT!$R$29-'FACT 1'!$P$104)&gt;0,"guests: "&amp;(AGREEMENT!$R$29-'FACT 1'!$P$104),"guests: ???")</f>
        <v>guests: 18</v>
      </c>
      <c r="O68" s="825"/>
      <c r="P68" s="825"/>
      <c r="Q68" s="825"/>
      <c r="R68" s="869" t="str">
        <f>IF(AGREEMENT!$W$29&gt;0,"f&amp;b min: $"&amp;AGREEMENT!$W$29,"f&amp;b min: ???")</f>
        <v>f&amp;b min: $800</v>
      </c>
      <c r="S68" s="869"/>
      <c r="T68" s="869"/>
      <c r="U68" s="869"/>
      <c r="V68" s="870" t="str">
        <f>IF(AGREEMENT!$N$29&gt;0,"service: "&amp;100*AGREEMENT!$N$29&amp;"%","")</f>
        <v>service: 22%</v>
      </c>
      <c r="W68" s="870"/>
      <c r="X68" s="870"/>
      <c r="Y68" s="870"/>
      <c r="Z68" s="871" t="str">
        <f>IF($Z$43&gt;0,"suggested grat: "&amp;100*$Z$43&amp;"%","suggested grat: ?")</f>
        <v>suggested grat: ?</v>
      </c>
      <c r="AA68" s="871"/>
      <c r="AB68" s="871"/>
      <c r="AC68" s="872"/>
      <c r="AD68" s="64"/>
    </row>
    <row r="69" spans="1:37" s="69" customFormat="1" ht="7" customHeight="1">
      <c r="A69" s="891"/>
      <c r="B69" s="891"/>
      <c r="C69" s="891"/>
      <c r="D69" s="891"/>
      <c r="E69" s="891"/>
      <c r="F69" s="891"/>
      <c r="G69" s="891"/>
      <c r="H69" s="891"/>
      <c r="I69" s="891"/>
      <c r="J69" s="891"/>
      <c r="K69" s="891"/>
      <c r="L69" s="891"/>
      <c r="M69" s="891"/>
      <c r="N69" s="891"/>
      <c r="O69" s="891"/>
      <c r="P69" s="891"/>
      <c r="Q69" s="891"/>
      <c r="R69" s="891"/>
      <c r="S69" s="891"/>
      <c r="T69" s="891"/>
      <c r="U69" s="891"/>
      <c r="V69" s="891"/>
      <c r="W69" s="891"/>
      <c r="X69" s="891"/>
      <c r="Y69" s="891"/>
      <c r="Z69" s="891"/>
      <c r="AA69" s="891"/>
      <c r="AB69" s="891"/>
      <c r="AC69" s="891"/>
      <c r="AD69" s="891"/>
      <c r="AE69" s="68"/>
      <c r="AF69" s="68"/>
      <c r="AG69" s="68"/>
      <c r="AH69" s="68"/>
      <c r="AI69" s="68"/>
      <c r="AJ69" s="68"/>
      <c r="AK69" s="68"/>
    </row>
    <row r="70" spans="1:37" ht="18" customHeight="1" thickBot="1">
      <c r="A70" s="70"/>
      <c r="B70" s="827" t="s">
        <v>185</v>
      </c>
      <c r="C70" s="827"/>
      <c r="D70" s="827"/>
      <c r="E70" s="827"/>
      <c r="F70" s="827"/>
      <c r="G70" s="827"/>
      <c r="H70" s="827"/>
      <c r="I70" s="827"/>
      <c r="J70" s="827"/>
      <c r="K70" s="827"/>
      <c r="L70" s="827"/>
      <c r="M70" s="827"/>
      <c r="N70" s="827"/>
      <c r="O70" s="827"/>
      <c r="P70" s="827"/>
      <c r="Q70" s="827"/>
      <c r="R70" s="827"/>
      <c r="S70" s="827"/>
      <c r="T70" s="827"/>
      <c r="U70" s="827"/>
      <c r="V70" s="827"/>
      <c r="W70" s="827"/>
      <c r="X70" s="87" t="s">
        <v>12</v>
      </c>
      <c r="Y70" s="87"/>
      <c r="Z70" s="868" t="s">
        <v>13</v>
      </c>
      <c r="AA70" s="868"/>
      <c r="AB70" s="868" t="s">
        <v>14</v>
      </c>
      <c r="AC70" s="868"/>
    </row>
    <row r="71" spans="1:37" ht="62" customHeight="1" thickTop="1">
      <c r="B71" s="839" t="s">
        <v>181</v>
      </c>
      <c r="C71" s="839"/>
      <c r="D71" s="840"/>
      <c r="E71" s="840"/>
      <c r="F71" s="951"/>
      <c r="G71" s="951"/>
      <c r="H71" s="951"/>
      <c r="I71" s="951"/>
      <c r="J71" s="951"/>
      <c r="K71" s="951"/>
      <c r="L71" s="951"/>
      <c r="M71" s="951"/>
      <c r="N71" s="951"/>
      <c r="O71" s="951"/>
      <c r="P71" s="951"/>
      <c r="Q71" s="951"/>
      <c r="R71" s="951"/>
      <c r="S71" s="951"/>
      <c r="T71" s="951"/>
      <c r="U71" s="951"/>
      <c r="V71" s="951"/>
      <c r="W71" s="951"/>
      <c r="X71" s="873"/>
      <c r="Y71" s="873"/>
      <c r="Z71" s="849"/>
      <c r="AA71" s="849"/>
      <c r="AB71" s="849"/>
      <c r="AC71" s="849"/>
    </row>
    <row r="72" spans="1:37" ht="62" customHeight="1">
      <c r="B72" s="842" t="s">
        <v>172</v>
      </c>
      <c r="C72" s="842"/>
      <c r="D72" s="841"/>
      <c r="E72" s="841"/>
      <c r="F72" s="888"/>
      <c r="G72" s="888"/>
      <c r="H72" s="888"/>
      <c r="I72" s="888"/>
      <c r="J72" s="888"/>
      <c r="K72" s="888"/>
      <c r="L72" s="888"/>
      <c r="M72" s="888"/>
      <c r="N72" s="888"/>
      <c r="O72" s="888"/>
      <c r="P72" s="888"/>
      <c r="Q72" s="888"/>
      <c r="R72" s="888"/>
      <c r="S72" s="888"/>
      <c r="T72" s="888"/>
      <c r="U72" s="888"/>
      <c r="V72" s="888"/>
      <c r="W72" s="888"/>
      <c r="X72" s="836"/>
      <c r="Y72" s="836"/>
      <c r="Z72" s="835"/>
      <c r="AA72" s="835"/>
      <c r="AB72" s="835"/>
      <c r="AC72" s="835"/>
    </row>
    <row r="73" spans="1:37" ht="62" customHeight="1">
      <c r="B73" s="842" t="s">
        <v>171</v>
      </c>
      <c r="C73" s="842"/>
      <c r="D73" s="841"/>
      <c r="E73" s="841"/>
      <c r="F73" s="887"/>
      <c r="G73" s="887"/>
      <c r="H73" s="887"/>
      <c r="I73" s="887"/>
      <c r="J73" s="887"/>
      <c r="K73" s="887"/>
      <c r="L73" s="887"/>
      <c r="M73" s="887"/>
      <c r="N73" s="887"/>
      <c r="O73" s="887"/>
      <c r="P73" s="887"/>
      <c r="Q73" s="887"/>
      <c r="R73" s="887"/>
      <c r="S73" s="887"/>
      <c r="T73" s="887"/>
      <c r="U73" s="887"/>
      <c r="V73" s="887"/>
      <c r="W73" s="887"/>
      <c r="X73" s="836"/>
      <c r="Y73" s="836"/>
      <c r="Z73" s="835"/>
      <c r="AA73" s="835"/>
      <c r="AB73" s="835"/>
      <c r="AC73" s="835"/>
    </row>
    <row r="74" spans="1:37" ht="62" customHeight="1">
      <c r="B74" s="841" t="s">
        <v>16</v>
      </c>
      <c r="C74" s="841"/>
      <c r="D74" s="841"/>
      <c r="E74" s="841"/>
      <c r="F74" s="887"/>
      <c r="G74" s="887"/>
      <c r="H74" s="887"/>
      <c r="I74" s="887"/>
      <c r="J74" s="887"/>
      <c r="K74" s="887"/>
      <c r="L74" s="887"/>
      <c r="M74" s="887"/>
      <c r="N74" s="887"/>
      <c r="O74" s="887"/>
      <c r="P74" s="887"/>
      <c r="Q74" s="887"/>
      <c r="R74" s="887"/>
      <c r="S74" s="887"/>
      <c r="T74" s="887"/>
      <c r="U74" s="887"/>
      <c r="V74" s="887"/>
      <c r="W74" s="887"/>
      <c r="X74" s="836"/>
      <c r="Y74" s="836"/>
      <c r="Z74" s="835"/>
      <c r="AA74" s="835"/>
      <c r="AB74" s="835"/>
      <c r="AC74" s="835"/>
    </row>
    <row r="75" spans="1:37" ht="11" customHeight="1">
      <c r="A75" s="485"/>
      <c r="B75" s="485"/>
      <c r="C75" s="485"/>
      <c r="D75" s="485"/>
      <c r="E75" s="485"/>
      <c r="F75" s="485"/>
      <c r="G75" s="485"/>
      <c r="H75" s="485"/>
      <c r="I75" s="485"/>
      <c r="J75" s="485"/>
      <c r="K75" s="485"/>
      <c r="L75" s="485"/>
      <c r="M75" s="485"/>
      <c r="N75" s="485"/>
      <c r="O75" s="485"/>
      <c r="P75" s="485"/>
      <c r="Q75" s="485"/>
      <c r="R75" s="485"/>
      <c r="S75" s="485"/>
      <c r="T75" s="485"/>
      <c r="U75" s="485"/>
      <c r="V75" s="485"/>
      <c r="W75" s="485"/>
      <c r="X75" s="485"/>
      <c r="Y75" s="485"/>
      <c r="Z75" s="485"/>
      <c r="AA75" s="485"/>
      <c r="AB75" s="485"/>
      <c r="AC75" s="485"/>
      <c r="AD75" s="485"/>
    </row>
    <row r="76" spans="1:37" ht="18" customHeight="1" thickBot="1">
      <c r="A76" s="126"/>
      <c r="B76" s="827" t="s">
        <v>80</v>
      </c>
      <c r="C76" s="827"/>
      <c r="D76" s="827"/>
      <c r="E76" s="827"/>
      <c r="F76" s="827"/>
      <c r="G76" s="827"/>
      <c r="H76" s="827"/>
      <c r="I76" s="827"/>
      <c r="J76" s="827"/>
      <c r="K76" s="827"/>
      <c r="L76" s="827"/>
      <c r="M76" s="827"/>
      <c r="N76" s="827"/>
      <c r="O76" s="827"/>
      <c r="P76" s="827"/>
      <c r="Q76" s="827"/>
      <c r="R76" s="827"/>
      <c r="S76" s="827"/>
      <c r="T76" s="827"/>
      <c r="U76" s="827"/>
      <c r="V76" s="827"/>
      <c r="W76" s="827"/>
      <c r="X76" s="827"/>
      <c r="Y76" s="827"/>
      <c r="Z76" s="827"/>
      <c r="AA76" s="827"/>
      <c r="AB76" s="827"/>
      <c r="AC76" s="827"/>
    </row>
    <row r="77" spans="1:37" ht="57" customHeight="1" thickTop="1">
      <c r="A77" s="17"/>
      <c r="B77" s="833" t="s">
        <v>177</v>
      </c>
      <c r="C77" s="833"/>
      <c r="D77" s="833"/>
      <c r="E77" s="833"/>
      <c r="F77" s="833"/>
      <c r="G77" s="850"/>
      <c r="H77" s="850"/>
      <c r="I77" s="850"/>
      <c r="J77" s="850"/>
      <c r="K77" s="850"/>
      <c r="L77" s="850"/>
      <c r="M77" s="850"/>
      <c r="N77" s="850"/>
      <c r="O77" s="850"/>
      <c r="P77" s="850"/>
      <c r="Q77" s="833" t="s">
        <v>174</v>
      </c>
      <c r="R77" s="833"/>
      <c r="S77" s="833"/>
      <c r="T77" s="833"/>
      <c r="U77" s="850"/>
      <c r="V77" s="850"/>
      <c r="W77" s="850"/>
      <c r="X77" s="850"/>
      <c r="Y77" s="850"/>
      <c r="Z77" s="850"/>
      <c r="AA77" s="850"/>
      <c r="AB77" s="850"/>
      <c r="AC77" s="850"/>
    </row>
    <row r="78" spans="1:37" ht="57" customHeight="1">
      <c r="A78" s="17"/>
      <c r="B78" s="842" t="s">
        <v>179</v>
      </c>
      <c r="C78" s="842"/>
      <c r="D78" s="842"/>
      <c r="E78" s="842"/>
      <c r="F78" s="842"/>
      <c r="G78" s="834"/>
      <c r="H78" s="834"/>
      <c r="I78" s="834"/>
      <c r="J78" s="834"/>
      <c r="K78" s="834"/>
      <c r="L78" s="834"/>
      <c r="M78" s="834"/>
      <c r="N78" s="834"/>
      <c r="O78" s="834"/>
      <c r="P78" s="834"/>
      <c r="Q78" s="842" t="s">
        <v>182</v>
      </c>
      <c r="R78" s="842"/>
      <c r="S78" s="842"/>
      <c r="T78" s="842"/>
      <c r="U78" s="834"/>
      <c r="V78" s="834"/>
      <c r="W78" s="834"/>
      <c r="X78" s="834"/>
      <c r="Y78" s="834"/>
      <c r="Z78" s="834"/>
      <c r="AA78" s="834"/>
      <c r="AB78" s="834"/>
      <c r="AC78" s="834"/>
    </row>
    <row r="79" spans="1:37" ht="57" customHeight="1">
      <c r="A79" s="17"/>
      <c r="B79" s="842" t="s">
        <v>178</v>
      </c>
      <c r="C79" s="842"/>
      <c r="D79" s="842"/>
      <c r="E79" s="842"/>
      <c r="F79" s="842"/>
      <c r="G79" s="834"/>
      <c r="H79" s="834"/>
      <c r="I79" s="834"/>
      <c r="J79" s="834"/>
      <c r="K79" s="834"/>
      <c r="L79" s="834"/>
      <c r="M79" s="834"/>
      <c r="N79" s="834"/>
      <c r="O79" s="834"/>
      <c r="P79" s="834"/>
      <c r="Q79" s="842" t="s">
        <v>175</v>
      </c>
      <c r="R79" s="842"/>
      <c r="S79" s="842"/>
      <c r="T79" s="842"/>
      <c r="U79" s="834"/>
      <c r="V79" s="834"/>
      <c r="W79" s="834"/>
      <c r="X79" s="834"/>
      <c r="Y79" s="834"/>
      <c r="Z79" s="834"/>
      <c r="AA79" s="834"/>
      <c r="AB79" s="834"/>
      <c r="AC79" s="834"/>
    </row>
    <row r="80" spans="1:37" ht="57" customHeight="1">
      <c r="A80" s="17"/>
      <c r="B80" s="842" t="s">
        <v>180</v>
      </c>
      <c r="C80" s="842"/>
      <c r="D80" s="842"/>
      <c r="E80" s="842"/>
      <c r="F80" s="842"/>
      <c r="G80" s="834"/>
      <c r="H80" s="834"/>
      <c r="I80" s="834"/>
      <c r="J80" s="834"/>
      <c r="K80" s="834"/>
      <c r="L80" s="834"/>
      <c r="M80" s="834"/>
      <c r="N80" s="834"/>
      <c r="O80" s="834"/>
      <c r="P80" s="834"/>
      <c r="Q80" s="842" t="s">
        <v>184</v>
      </c>
      <c r="R80" s="842"/>
      <c r="S80" s="842"/>
      <c r="T80" s="842"/>
      <c r="U80" s="834"/>
      <c r="V80" s="834"/>
      <c r="W80" s="834"/>
      <c r="X80" s="834"/>
      <c r="Y80" s="834"/>
      <c r="Z80" s="834"/>
      <c r="AA80" s="834"/>
      <c r="AB80" s="834"/>
      <c r="AC80" s="834"/>
    </row>
    <row r="81" spans="1:37" ht="57" customHeight="1">
      <c r="A81" s="17"/>
      <c r="B81" s="842" t="s">
        <v>176</v>
      </c>
      <c r="C81" s="842"/>
      <c r="D81" s="842"/>
      <c r="E81" s="842"/>
      <c r="F81" s="842"/>
      <c r="G81" s="834"/>
      <c r="H81" s="834"/>
      <c r="I81" s="834"/>
      <c r="J81" s="834"/>
      <c r="K81" s="834"/>
      <c r="L81" s="834"/>
      <c r="M81" s="834"/>
      <c r="N81" s="834"/>
      <c r="O81" s="834"/>
      <c r="P81" s="834"/>
      <c r="Q81" s="834"/>
      <c r="R81" s="834"/>
      <c r="S81" s="834"/>
      <c r="T81" s="834"/>
      <c r="U81" s="834"/>
      <c r="V81" s="834"/>
      <c r="W81" s="834"/>
      <c r="X81" s="834"/>
      <c r="Y81" s="834"/>
      <c r="Z81" s="834"/>
      <c r="AA81" s="834"/>
      <c r="AB81" s="834"/>
      <c r="AC81" s="834"/>
    </row>
    <row r="82" spans="1:37" ht="59" customHeight="1">
      <c r="A82" s="17"/>
      <c r="B82" s="842" t="s">
        <v>183</v>
      </c>
      <c r="C82" s="842"/>
      <c r="D82" s="842"/>
      <c r="E82" s="842"/>
      <c r="F82" s="842"/>
      <c r="G82" s="834"/>
      <c r="H82" s="834"/>
      <c r="I82" s="834"/>
      <c r="J82" s="834"/>
      <c r="K82" s="834"/>
      <c r="L82" s="834"/>
      <c r="M82" s="834"/>
      <c r="N82" s="834"/>
      <c r="O82" s="834"/>
      <c r="P82" s="834"/>
      <c r="Q82" s="834"/>
      <c r="R82" s="834"/>
      <c r="S82" s="834"/>
      <c r="T82" s="834"/>
      <c r="U82" s="834"/>
      <c r="V82" s="834"/>
      <c r="W82" s="834"/>
      <c r="X82" s="834"/>
      <c r="Y82" s="834"/>
      <c r="Z82" s="834"/>
      <c r="AA82" s="834"/>
      <c r="AB82" s="834"/>
      <c r="AC82" s="834"/>
    </row>
    <row r="83" spans="1:37" ht="2" customHeight="1">
      <c r="A83" s="485"/>
      <c r="B83" s="485"/>
      <c r="C83" s="485"/>
      <c r="D83" s="485"/>
      <c r="E83" s="485"/>
      <c r="F83" s="485"/>
      <c r="G83" s="485"/>
      <c r="H83" s="485"/>
      <c r="I83" s="485"/>
      <c r="J83" s="485"/>
      <c r="K83" s="485"/>
      <c r="L83" s="485"/>
      <c r="M83" s="485"/>
      <c r="N83" s="485"/>
      <c r="O83" s="485"/>
      <c r="P83" s="485"/>
      <c r="Q83" s="485"/>
      <c r="R83" s="485"/>
      <c r="S83" s="485"/>
      <c r="T83" s="485"/>
      <c r="U83" s="485"/>
      <c r="V83" s="485"/>
      <c r="W83" s="485"/>
      <c r="X83" s="485"/>
      <c r="Y83" s="485"/>
      <c r="Z83" s="485"/>
      <c r="AA83" s="485"/>
      <c r="AB83" s="485"/>
      <c r="AC83" s="485"/>
    </row>
    <row r="84" spans="1:37" s="57" customFormat="1" ht="21" customHeight="1">
      <c r="A84" s="67"/>
      <c r="B84" s="837" t="s">
        <v>170</v>
      </c>
      <c r="C84" s="838"/>
      <c r="D84" s="838"/>
      <c r="E84" s="838"/>
      <c r="F84" s="864" t="str">
        <f>IF(AGREEMENT!$D$13&gt;0,
(IF(AGREEMENT!$Q$13&gt;0,
("  "&amp;AGREEMENT!$D$13&amp;" ("&amp;AGREEMENT!$Q$13&amp;")"),
"  "&amp;AGREEMENT!$D$13&amp;""))," "&amp;AGREEMENT!$Q$13)</f>
        <v xml:space="preserve"> </v>
      </c>
      <c r="G84" s="864"/>
      <c r="H84" s="864"/>
      <c r="I84" s="864"/>
      <c r="J84" s="864"/>
      <c r="K84" s="864"/>
      <c r="L84" s="864"/>
      <c r="M84" s="864"/>
      <c r="N84" s="864"/>
      <c r="O84" s="864"/>
      <c r="P84" s="864"/>
      <c r="Q84" s="864"/>
      <c r="R84" s="864"/>
      <c r="S84" s="864"/>
      <c r="T84" s="105"/>
      <c r="U84" s="865" t="str">
        <f>IF(AGREEMENT!$B$22&gt;0,CONCATENATE((TEXT(AGREEMENT!$B$22,"DDDD"))&amp;", "&amp;(TEXT(AGREEMENT!$B$22,"MMMM"))&amp;" "&amp;(TEXT(AGREEMENT!$B$22,"d"))&amp;", "&amp;(TEXT(AGREEMENT!$B$22,"yyyy"))&amp;" @ "&amp;(TEXT(AGREEMENT!D22,"h:mm am/pm"))),"")</f>
        <v>Tuesday, June 21, 2016 @ 12:30 PM</v>
      </c>
      <c r="V84" s="865"/>
      <c r="W84" s="865"/>
      <c r="X84" s="865"/>
      <c r="Y84" s="865"/>
      <c r="Z84" s="865"/>
      <c r="AA84" s="865"/>
      <c r="AB84" s="865"/>
      <c r="AC84" s="866"/>
      <c r="AD84" s="63"/>
      <c r="AE84" s="10"/>
      <c r="AF84" s="10"/>
      <c r="AG84" s="10"/>
      <c r="AH84" s="10"/>
      <c r="AI84" s="10"/>
      <c r="AJ84" s="10"/>
      <c r="AK84" s="10"/>
    </row>
    <row r="85" spans="1:37" ht="7" customHeight="1">
      <c r="A85" s="899"/>
      <c r="B85" s="899"/>
      <c r="C85" s="899"/>
      <c r="D85" s="899"/>
      <c r="E85" s="899"/>
      <c r="F85" s="899"/>
      <c r="G85" s="899"/>
      <c r="H85" s="899"/>
      <c r="I85" s="899"/>
      <c r="J85" s="899"/>
      <c r="K85" s="899"/>
      <c r="L85" s="899"/>
      <c r="M85" s="899"/>
      <c r="N85" s="899"/>
      <c r="O85" s="899"/>
      <c r="P85" s="899"/>
      <c r="Q85" s="899"/>
      <c r="R85" s="899"/>
      <c r="S85" s="899"/>
      <c r="T85" s="899"/>
      <c r="U85" s="899"/>
      <c r="V85" s="899"/>
      <c r="W85" s="899"/>
      <c r="X85" s="899"/>
      <c r="Y85" s="899"/>
      <c r="Z85" s="899"/>
      <c r="AA85" s="899"/>
      <c r="AB85" s="899"/>
      <c r="AC85" s="899"/>
      <c r="AD85" s="899"/>
    </row>
    <row r="86" spans="1:37" s="66" customFormat="1" ht="20" customHeight="1">
      <c r="A86" s="64"/>
      <c r="B86" s="862" t="str">
        <f>IF($Z$19&gt;0,"room: "&amp;$Z$19,"missing")</f>
        <v>room: rotunda</v>
      </c>
      <c r="C86" s="832"/>
      <c r="D86" s="832"/>
      <c r="E86" s="832"/>
      <c r="F86" s="831" t="str">
        <f>IF($R$22&gt;0,"bar: "&amp;$R$22,"")</f>
        <v>bar: none</v>
      </c>
      <c r="G86" s="831"/>
      <c r="H86" s="831"/>
      <c r="I86" s="831"/>
      <c r="J86" s="832" t="str">
        <f>IF($V$22&gt;0,"food: "&amp;$V$22,"")</f>
        <v>food: plated</v>
      </c>
      <c r="K86" s="832"/>
      <c r="L86" s="832"/>
      <c r="M86" s="832"/>
      <c r="N86" s="825" t="str">
        <f>IF((AGREEMENT!$R$29-'FACT 1'!$P$104)&gt;0,"guests: "&amp;(AGREEMENT!$R$29-'FACT 1'!$P$104),"guests: ???")</f>
        <v>guests: 18</v>
      </c>
      <c r="O86" s="825"/>
      <c r="P86" s="825"/>
      <c r="Q86" s="825"/>
      <c r="R86" s="869" t="str">
        <f>IF(AGREEMENT!$W$29&gt;0,"f&amp;b min: $"&amp;AGREEMENT!$W$29,"f&amp;b min: ???")</f>
        <v>f&amp;b min: $800</v>
      </c>
      <c r="S86" s="869"/>
      <c r="T86" s="869"/>
      <c r="U86" s="869"/>
      <c r="V86" s="870" t="str">
        <f>IF(AGREEMENT!$N$29&gt;0,"service: "&amp;100*AGREEMENT!$N$29&amp;"%","")</f>
        <v>service: 22%</v>
      </c>
      <c r="W86" s="870"/>
      <c r="X86" s="870"/>
      <c r="Y86" s="870"/>
      <c r="Z86" s="871" t="str">
        <f>IF($Z$43&gt;0,"suggested grat: "&amp;100*$Z$43&amp;"%","suggested grat: ?")</f>
        <v>suggested grat: ?</v>
      </c>
      <c r="AA86" s="871"/>
      <c r="AB86" s="871"/>
      <c r="AC86" s="872"/>
      <c r="AD86" s="64"/>
    </row>
    <row r="87" spans="1:37" s="69" customFormat="1" ht="7" customHeight="1">
      <c r="A87" s="891"/>
      <c r="B87" s="891"/>
      <c r="C87" s="891"/>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68"/>
      <c r="AF87" s="68"/>
      <c r="AG87" s="68"/>
      <c r="AH87" s="68"/>
      <c r="AI87" s="68"/>
      <c r="AJ87" s="68"/>
      <c r="AK87" s="68"/>
    </row>
    <row r="88" spans="1:37" ht="18" customHeight="1" thickBot="1">
      <c r="A88" s="70"/>
      <c r="B88" s="827" t="s">
        <v>316</v>
      </c>
      <c r="C88" s="827"/>
      <c r="D88" s="827"/>
      <c r="E88" s="827"/>
      <c r="F88" s="827"/>
      <c r="G88" s="827"/>
      <c r="H88" s="827"/>
      <c r="I88" s="827"/>
      <c r="J88" s="827"/>
      <c r="K88" s="827"/>
      <c r="L88" s="827"/>
      <c r="M88" s="827"/>
      <c r="N88" s="827"/>
      <c r="O88" s="827"/>
      <c r="P88" s="827"/>
      <c r="Q88" s="827"/>
      <c r="R88" s="827"/>
      <c r="S88" s="827"/>
      <c r="T88" s="827"/>
      <c r="U88" s="827"/>
      <c r="V88" s="827"/>
      <c r="W88" s="827"/>
      <c r="X88" s="827"/>
      <c r="Y88" s="827"/>
      <c r="Z88" s="827"/>
      <c r="AA88" s="827"/>
      <c r="AB88" s="827"/>
      <c r="AC88" s="827"/>
    </row>
    <row r="89" spans="1:37" ht="304" customHeight="1" thickTop="1">
      <c r="A89" s="15"/>
      <c r="B89" s="856"/>
      <c r="C89" s="857"/>
      <c r="D89" s="857"/>
      <c r="E89" s="857"/>
      <c r="F89" s="857"/>
      <c r="G89" s="857"/>
      <c r="H89" s="857"/>
      <c r="I89" s="857"/>
      <c r="J89" s="857"/>
      <c r="K89" s="857"/>
      <c r="L89" s="857"/>
      <c r="M89" s="857"/>
      <c r="N89" s="857"/>
      <c r="O89" s="857"/>
      <c r="P89" s="857"/>
      <c r="Q89" s="857"/>
      <c r="R89" s="857"/>
      <c r="S89" s="857"/>
      <c r="T89" s="857"/>
      <c r="U89" s="857"/>
      <c r="V89" s="857"/>
      <c r="W89" s="857"/>
      <c r="X89" s="857"/>
      <c r="Y89" s="857"/>
      <c r="Z89" s="857"/>
      <c r="AA89" s="857"/>
      <c r="AB89" s="857"/>
      <c r="AC89" s="858"/>
    </row>
    <row r="90" spans="1:37" ht="319" customHeight="1">
      <c r="B90" s="859"/>
      <c r="C90" s="860"/>
      <c r="D90" s="860"/>
      <c r="E90" s="860"/>
      <c r="F90" s="860"/>
      <c r="G90" s="860"/>
      <c r="H90" s="860"/>
      <c r="I90" s="860"/>
      <c r="J90" s="860"/>
      <c r="K90" s="860"/>
      <c r="L90" s="860"/>
      <c r="M90" s="860"/>
      <c r="N90" s="860"/>
      <c r="O90" s="860"/>
      <c r="P90" s="860"/>
      <c r="Q90" s="860"/>
      <c r="R90" s="860"/>
      <c r="S90" s="860"/>
      <c r="T90" s="860"/>
      <c r="U90" s="860"/>
      <c r="V90" s="860"/>
      <c r="W90" s="860"/>
      <c r="X90" s="860"/>
      <c r="Y90" s="860"/>
      <c r="Z90" s="860"/>
      <c r="AA90" s="860"/>
      <c r="AB90" s="860"/>
      <c r="AC90" s="861"/>
    </row>
    <row r="91" spans="1:37" s="227" customFormat="1" ht="32" hidden="1" customHeight="1">
      <c r="A91" s="223"/>
      <c r="B91" s="224"/>
      <c r="C91" s="224"/>
      <c r="D91" s="224"/>
      <c r="E91" s="225"/>
      <c r="F91" s="225"/>
      <c r="G91" s="225"/>
      <c r="H91" s="225"/>
      <c r="I91" s="225"/>
      <c r="J91" s="225"/>
      <c r="K91" s="225"/>
      <c r="L91" s="225"/>
      <c r="M91" s="225"/>
      <c r="N91" s="225"/>
      <c r="O91" s="225"/>
      <c r="P91" s="225"/>
      <c r="Q91" s="225"/>
      <c r="R91" s="225"/>
      <c r="S91" s="225"/>
      <c r="T91" s="226"/>
      <c r="U91" s="226"/>
      <c r="V91" s="226"/>
      <c r="W91" s="226"/>
      <c r="X91" s="226"/>
      <c r="Y91" s="226"/>
      <c r="Z91" s="225"/>
      <c r="AA91" s="226"/>
      <c r="AB91" s="225"/>
      <c r="AC91" s="226"/>
      <c r="AE91" s="228"/>
      <c r="AF91" s="228"/>
      <c r="AG91" s="228"/>
      <c r="AH91" s="228"/>
      <c r="AI91" s="228"/>
      <c r="AJ91" s="228"/>
      <c r="AK91" s="228"/>
    </row>
    <row r="92" spans="1:37" s="229" customFormat="1" ht="32" hidden="1" customHeight="1">
      <c r="B92" s="230" t="s">
        <v>66</v>
      </c>
      <c r="C92" s="230"/>
      <c r="D92" s="230" t="s">
        <v>67</v>
      </c>
      <c r="E92" s="230" t="s">
        <v>68</v>
      </c>
      <c r="F92" s="230"/>
      <c r="G92" s="896" t="s">
        <v>30</v>
      </c>
      <c r="H92" s="896"/>
      <c r="I92" s="896"/>
      <c r="J92" s="896"/>
      <c r="K92" s="896"/>
      <c r="L92" s="896"/>
      <c r="M92" s="896"/>
      <c r="N92" s="896"/>
      <c r="O92" s="231" t="s">
        <v>131</v>
      </c>
      <c r="P92" s="867" t="s">
        <v>114</v>
      </c>
      <c r="Q92" s="867"/>
      <c r="R92" s="867"/>
      <c r="S92" s="232" t="s">
        <v>150</v>
      </c>
      <c r="T92" s="867" t="s">
        <v>48</v>
      </c>
      <c r="U92" s="867"/>
      <c r="V92" s="233" t="s">
        <v>38</v>
      </c>
      <c r="W92" s="234" t="s">
        <v>39</v>
      </c>
      <c r="X92" s="234" t="s">
        <v>18</v>
      </c>
      <c r="Y92" s="232">
        <v>2</v>
      </c>
      <c r="Z92" s="867" t="s">
        <v>103</v>
      </c>
      <c r="AA92" s="867"/>
      <c r="AB92" s="867"/>
      <c r="AC92" s="867"/>
      <c r="AE92" s="235"/>
      <c r="AF92" s="235"/>
      <c r="AG92" s="235"/>
      <c r="AH92" s="235"/>
      <c r="AI92" s="235"/>
      <c r="AJ92" s="235"/>
      <c r="AK92" s="235"/>
    </row>
    <row r="93" spans="1:37" s="229" customFormat="1" ht="32" hidden="1" customHeight="1">
      <c r="A93" s="236"/>
      <c r="B93" s="237" t="s">
        <v>58</v>
      </c>
      <c r="C93" s="237"/>
      <c r="D93" s="237" t="s">
        <v>72</v>
      </c>
      <c r="E93" s="237" t="s">
        <v>74</v>
      </c>
      <c r="F93" s="237"/>
      <c r="G93" s="889" t="s">
        <v>303</v>
      </c>
      <c r="H93" s="889"/>
      <c r="I93" s="889"/>
      <c r="J93" s="889"/>
      <c r="K93" s="889"/>
      <c r="L93" s="889"/>
      <c r="M93" s="889"/>
      <c r="N93" s="889"/>
      <c r="O93" s="238" t="s">
        <v>132</v>
      </c>
      <c r="P93" s="843" t="s">
        <v>102</v>
      </c>
      <c r="Q93" s="843"/>
      <c r="R93" s="843"/>
      <c r="S93" s="236" t="s">
        <v>151</v>
      </c>
      <c r="T93" s="843" t="s">
        <v>49</v>
      </c>
      <c r="U93" s="843"/>
      <c r="V93" s="239" t="s">
        <v>38</v>
      </c>
      <c r="W93" s="240" t="s">
        <v>40</v>
      </c>
      <c r="X93" s="240" t="s">
        <v>315</v>
      </c>
      <c r="Y93" s="236"/>
      <c r="Z93" s="843" t="s">
        <v>105</v>
      </c>
      <c r="AA93" s="843"/>
      <c r="AB93" s="843"/>
      <c r="AC93" s="843"/>
      <c r="AE93" s="235"/>
      <c r="AF93" s="235"/>
      <c r="AG93" s="235"/>
      <c r="AH93" s="235"/>
      <c r="AI93" s="235"/>
      <c r="AJ93" s="235"/>
      <c r="AK93" s="235"/>
    </row>
    <row r="94" spans="1:37" s="229" customFormat="1" ht="32" hidden="1" customHeight="1">
      <c r="A94" s="236"/>
      <c r="B94" s="237" t="s">
        <v>34</v>
      </c>
      <c r="C94" s="237"/>
      <c r="D94" s="237" t="s">
        <v>73</v>
      </c>
      <c r="E94" s="237" t="s">
        <v>70</v>
      </c>
      <c r="F94" s="237"/>
      <c r="G94" s="889"/>
      <c r="H94" s="889"/>
      <c r="I94" s="889"/>
      <c r="J94" s="889"/>
      <c r="K94" s="889"/>
      <c r="L94" s="889"/>
      <c r="M94" s="889"/>
      <c r="N94" s="889"/>
      <c r="O94" s="238" t="s">
        <v>133</v>
      </c>
      <c r="P94" s="236"/>
      <c r="Q94" s="236"/>
      <c r="R94" s="236"/>
      <c r="S94" s="236" t="s">
        <v>152</v>
      </c>
      <c r="T94" s="843" t="s">
        <v>50</v>
      </c>
      <c r="U94" s="843"/>
      <c r="V94" s="239" t="s">
        <v>38</v>
      </c>
      <c r="W94" s="240" t="s">
        <v>43</v>
      </c>
      <c r="X94" s="240"/>
      <c r="Y94" s="236"/>
      <c r="Z94" s="236"/>
      <c r="AA94" s="236"/>
      <c r="AB94" s="236"/>
      <c r="AC94" s="236"/>
      <c r="AE94" s="235"/>
      <c r="AF94" s="235"/>
      <c r="AG94" s="235"/>
      <c r="AH94" s="235"/>
      <c r="AI94" s="235"/>
      <c r="AJ94" s="235"/>
      <c r="AK94" s="235"/>
    </row>
    <row r="95" spans="1:37" s="229" customFormat="1" ht="32" hidden="1" customHeight="1">
      <c r="A95" s="236"/>
      <c r="B95" s="237" t="s">
        <v>57</v>
      </c>
      <c r="C95" s="237"/>
      <c r="D95" s="237" t="s">
        <v>302</v>
      </c>
      <c r="E95" s="237" t="s">
        <v>79</v>
      </c>
      <c r="F95" s="237"/>
      <c r="G95" s="889"/>
      <c r="H95" s="889"/>
      <c r="I95" s="889"/>
      <c r="J95" s="889"/>
      <c r="K95" s="889"/>
      <c r="L95" s="889"/>
      <c r="M95" s="889"/>
      <c r="N95" s="889"/>
      <c r="O95" s="238" t="s">
        <v>134</v>
      </c>
      <c r="P95" s="241"/>
      <c r="Q95" s="236"/>
      <c r="R95" s="236"/>
      <c r="S95" s="241"/>
      <c r="T95" s="843" t="s">
        <v>328</v>
      </c>
      <c r="U95" s="843"/>
      <c r="V95" s="239" t="s">
        <v>38</v>
      </c>
      <c r="W95" s="240" t="s">
        <v>41</v>
      </c>
      <c r="X95" s="240"/>
      <c r="Y95" s="236"/>
      <c r="Z95" s="236"/>
      <c r="AA95" s="236">
        <v>1</v>
      </c>
      <c r="AB95" s="236"/>
      <c r="AC95" s="236"/>
      <c r="AE95" s="235"/>
      <c r="AF95" s="235"/>
      <c r="AG95" s="235"/>
      <c r="AH95" s="235"/>
      <c r="AI95" s="235"/>
      <c r="AJ95" s="235"/>
      <c r="AK95" s="235"/>
    </row>
    <row r="96" spans="1:37" s="229" customFormat="1" ht="32" hidden="1" customHeight="1">
      <c r="A96" s="236"/>
      <c r="B96" s="242" t="s">
        <v>64</v>
      </c>
      <c r="C96" s="242"/>
      <c r="D96" s="242" t="s">
        <v>301</v>
      </c>
      <c r="E96" s="242" t="s">
        <v>75</v>
      </c>
      <c r="F96" s="242"/>
      <c r="G96" s="890"/>
      <c r="H96" s="890"/>
      <c r="I96" s="890"/>
      <c r="J96" s="890"/>
      <c r="K96" s="890"/>
      <c r="L96" s="890"/>
      <c r="M96" s="890"/>
      <c r="N96" s="890"/>
      <c r="O96" s="243" t="s">
        <v>135</v>
      </c>
      <c r="P96" s="244"/>
      <c r="Q96" s="245"/>
      <c r="R96" s="245"/>
      <c r="S96" s="244"/>
      <c r="T96" s="895" t="s">
        <v>229</v>
      </c>
      <c r="U96" s="895"/>
      <c r="V96" s="246" t="s">
        <v>38</v>
      </c>
      <c r="W96" s="247" t="s">
        <v>42</v>
      </c>
      <c r="X96" s="247"/>
      <c r="Y96" s="245"/>
      <c r="Z96" s="245"/>
      <c r="AA96" s="245">
        <v>3</v>
      </c>
      <c r="AB96" s="245"/>
      <c r="AC96" s="245"/>
      <c r="AE96" s="235"/>
      <c r="AF96" s="235"/>
      <c r="AG96" s="235"/>
      <c r="AH96" s="235"/>
      <c r="AI96" s="235"/>
      <c r="AJ96" s="235"/>
      <c r="AK96" s="235"/>
    </row>
    <row r="97" spans="1:37" s="229" customFormat="1" ht="32" hidden="1" customHeight="1">
      <c r="A97" s="236"/>
      <c r="B97" s="237" t="s">
        <v>65</v>
      </c>
      <c r="C97" s="237"/>
      <c r="D97" s="237" t="s">
        <v>300</v>
      </c>
      <c r="E97" s="237" t="s">
        <v>76</v>
      </c>
      <c r="F97" s="237"/>
      <c r="G97" s="897" t="s">
        <v>304</v>
      </c>
      <c r="H97" s="897"/>
      <c r="I97" s="897"/>
      <c r="J97" s="897"/>
      <c r="K97" s="897"/>
      <c r="L97" s="897"/>
      <c r="M97" s="897"/>
      <c r="N97" s="897"/>
      <c r="O97" s="248" t="s">
        <v>136</v>
      </c>
      <c r="P97" s="236"/>
      <c r="Q97" s="236"/>
      <c r="R97" s="236"/>
      <c r="S97" s="236"/>
      <c r="T97" s="843" t="s">
        <v>53</v>
      </c>
      <c r="U97" s="843"/>
      <c r="V97" s="239" t="s">
        <v>38</v>
      </c>
      <c r="W97" s="240" t="s">
        <v>44</v>
      </c>
      <c r="X97" s="240"/>
      <c r="Y97" s="236"/>
      <c r="Z97" s="236"/>
      <c r="AA97" s="236">
        <v>1</v>
      </c>
      <c r="AB97" s="894" t="str">
        <f>IF(AA97=2,"CC","AR")</f>
        <v>AR</v>
      </c>
      <c r="AC97" s="894"/>
      <c r="AE97" s="235"/>
      <c r="AF97" s="235"/>
      <c r="AG97" s="235"/>
      <c r="AH97" s="235"/>
      <c r="AI97" s="235"/>
      <c r="AJ97" s="235"/>
      <c r="AK97" s="235"/>
    </row>
    <row r="98" spans="1:37" s="229" customFormat="1" ht="32" hidden="1" customHeight="1">
      <c r="A98" s="236"/>
      <c r="B98" s="242" t="s">
        <v>98</v>
      </c>
      <c r="C98" s="242"/>
      <c r="D98" s="242" t="s">
        <v>306</v>
      </c>
      <c r="E98" s="242" t="s">
        <v>69</v>
      </c>
      <c r="F98" s="242"/>
      <c r="G98" s="898"/>
      <c r="H98" s="898"/>
      <c r="I98" s="898"/>
      <c r="J98" s="898"/>
      <c r="K98" s="898"/>
      <c r="L98" s="898"/>
      <c r="M98" s="898"/>
      <c r="N98" s="898"/>
      <c r="O98" s="249" t="s">
        <v>149</v>
      </c>
      <c r="P98" s="245"/>
      <c r="Q98" s="245"/>
      <c r="R98" s="245"/>
      <c r="S98" s="245"/>
      <c r="T98" s="895" t="s">
        <v>54</v>
      </c>
      <c r="U98" s="895"/>
      <c r="V98" s="246" t="s">
        <v>38</v>
      </c>
      <c r="W98" s="247" t="s">
        <v>45</v>
      </c>
      <c r="X98" s="247"/>
      <c r="Y98" s="245"/>
      <c r="Z98" s="245"/>
      <c r="AA98" s="893">
        <f>B19</f>
        <v>42542</v>
      </c>
      <c r="AB98" s="893"/>
      <c r="AC98" s="245"/>
      <c r="AE98" s="235"/>
      <c r="AF98" s="235"/>
      <c r="AG98" s="235"/>
      <c r="AH98" s="235"/>
      <c r="AI98" s="235"/>
      <c r="AJ98" s="235"/>
      <c r="AK98" s="235"/>
    </row>
    <row r="99" spans="1:37" s="229" customFormat="1" ht="32" hidden="1" customHeight="1">
      <c r="A99" s="236"/>
      <c r="B99" s="237" t="s">
        <v>149</v>
      </c>
      <c r="C99" s="237"/>
      <c r="D99" s="237" t="s">
        <v>71</v>
      </c>
      <c r="E99" s="237" t="s">
        <v>77</v>
      </c>
      <c r="F99" s="237"/>
      <c r="G99" s="897"/>
      <c r="H99" s="897"/>
      <c r="I99" s="897"/>
      <c r="J99" s="897"/>
      <c r="K99" s="897"/>
      <c r="L99" s="897"/>
      <c r="M99" s="897"/>
      <c r="N99" s="897"/>
      <c r="O99" s="250"/>
      <c r="P99" s="236"/>
      <c r="Q99" s="236"/>
      <c r="R99" s="236"/>
      <c r="S99" s="236"/>
      <c r="T99" s="843" t="s">
        <v>36</v>
      </c>
      <c r="U99" s="843"/>
      <c r="V99" s="239" t="s">
        <v>38</v>
      </c>
      <c r="W99" s="240" t="s">
        <v>46</v>
      </c>
      <c r="X99" s="240"/>
      <c r="Y99" s="236"/>
      <c r="Z99" s="236"/>
      <c r="AA99" s="236"/>
      <c r="AB99" s="236"/>
      <c r="AC99" s="236"/>
      <c r="AE99" s="235"/>
      <c r="AF99" s="235"/>
      <c r="AG99" s="235"/>
      <c r="AH99" s="235"/>
      <c r="AI99" s="235"/>
      <c r="AJ99" s="235"/>
      <c r="AK99" s="235"/>
    </row>
    <row r="100" spans="1:37" s="229" customFormat="1" ht="32" hidden="1" customHeight="1">
      <c r="A100" s="236"/>
      <c r="B100" s="242"/>
      <c r="C100" s="242"/>
      <c r="D100" s="242" t="s">
        <v>297</v>
      </c>
      <c r="E100" s="242" t="s">
        <v>78</v>
      </c>
      <c r="F100" s="242"/>
      <c r="G100" s="898"/>
      <c r="H100" s="898"/>
      <c r="I100" s="898"/>
      <c r="J100" s="898"/>
      <c r="K100" s="898"/>
      <c r="L100" s="898"/>
      <c r="M100" s="898"/>
      <c r="N100" s="898"/>
      <c r="O100" s="249"/>
      <c r="P100" s="245"/>
      <c r="Q100" s="245"/>
      <c r="R100" s="245"/>
      <c r="S100" s="245"/>
      <c r="T100" s="895" t="s">
        <v>55</v>
      </c>
      <c r="U100" s="895"/>
      <c r="V100" s="246" t="s">
        <v>38</v>
      </c>
      <c r="W100" s="247" t="s">
        <v>47</v>
      </c>
      <c r="X100" s="247"/>
      <c r="Y100" s="245"/>
      <c r="Z100" s="245"/>
      <c r="AA100" s="245"/>
      <c r="AB100" s="245"/>
      <c r="AC100" s="245"/>
      <c r="AD100" s="251"/>
      <c r="AE100" s="235"/>
      <c r="AF100" s="235"/>
      <c r="AG100" s="235"/>
      <c r="AH100" s="235"/>
      <c r="AI100" s="235"/>
      <c r="AJ100" s="235"/>
      <c r="AK100" s="235"/>
    </row>
    <row r="101" spans="1:37" s="256" customFormat="1" ht="32" hidden="1" customHeight="1">
      <c r="A101" s="252"/>
      <c r="B101" s="253">
        <v>0</v>
      </c>
      <c r="C101" s="253"/>
      <c r="D101" s="237" t="s">
        <v>298</v>
      </c>
      <c r="E101" s="253" t="s">
        <v>98</v>
      </c>
      <c r="F101" s="253"/>
      <c r="G101" s="253"/>
      <c r="H101" s="253"/>
      <c r="I101" s="253"/>
      <c r="J101" s="254"/>
      <c r="K101" s="253"/>
      <c r="L101" s="253"/>
      <c r="M101" s="253"/>
      <c r="N101" s="253"/>
      <c r="O101" s="253"/>
      <c r="P101" s="253"/>
      <c r="Q101" s="253"/>
      <c r="R101" s="254"/>
      <c r="S101" s="254"/>
      <c r="T101" s="252"/>
      <c r="U101" s="252"/>
      <c r="V101" s="252"/>
      <c r="W101" s="252"/>
      <c r="X101" s="252"/>
      <c r="Y101" s="252"/>
      <c r="Z101" s="252"/>
      <c r="AA101" s="252"/>
      <c r="AB101" s="255"/>
      <c r="AC101" s="252"/>
      <c r="AE101" s="257"/>
      <c r="AF101" s="257"/>
      <c r="AG101" s="257"/>
      <c r="AH101" s="257"/>
      <c r="AI101" s="257"/>
      <c r="AJ101" s="257"/>
      <c r="AK101" s="257"/>
    </row>
    <row r="102" spans="1:37" s="267" customFormat="1" ht="32" hidden="1" customHeight="1">
      <c r="A102" s="258"/>
      <c r="B102" s="259">
        <f>B19</f>
        <v>42542</v>
      </c>
      <c r="C102" s="259"/>
      <c r="D102" s="242" t="s">
        <v>299</v>
      </c>
      <c r="E102" s="259"/>
      <c r="F102" s="260" t="str">
        <f>IF(F19&gt;0.625,"D","L")</f>
        <v>L</v>
      </c>
      <c r="G102" s="892"/>
      <c r="H102" s="892"/>
      <c r="I102" s="892"/>
      <c r="J102" s="261"/>
      <c r="K102" s="261"/>
      <c r="L102" s="261"/>
      <c r="M102" s="261"/>
      <c r="N102" s="261"/>
      <c r="O102" s="261">
        <v>2</v>
      </c>
      <c r="P102" s="261"/>
      <c r="Q102" s="261">
        <v>8</v>
      </c>
      <c r="R102" s="261"/>
      <c r="S102" s="261"/>
      <c r="T102" s="262">
        <v>13</v>
      </c>
      <c r="U102" s="262"/>
      <c r="V102" s="262"/>
      <c r="W102" s="263">
        <v>3</v>
      </c>
      <c r="X102" s="263"/>
      <c r="Y102" s="263"/>
      <c r="Z102" s="263"/>
      <c r="AA102" s="262"/>
      <c r="AB102" s="264">
        <v>6</v>
      </c>
      <c r="AC102" s="264" t="str">
        <f>IF(AB102=1,W92,IF(AB102=2,W93,IF(AB102=3,W94,IF(AB102=4,W95,IF(AB102=5,W96,IF(AB102=6,W97,IF(AB102=7,W98,IF(AB102=8,W99,IF(AB102=9,W100,"")))))))))</f>
        <v>RT</v>
      </c>
      <c r="AD102" s="265"/>
      <c r="AE102" s="266"/>
      <c r="AF102" s="266"/>
      <c r="AG102" s="266"/>
      <c r="AH102" s="266"/>
      <c r="AI102" s="266"/>
      <c r="AJ102" s="266"/>
      <c r="AK102" s="266"/>
    </row>
    <row r="103" spans="1:37" s="267" customFormat="1" ht="32" hidden="1" customHeight="1">
      <c r="A103" s="258"/>
      <c r="B103" s="268"/>
      <c r="C103" s="268"/>
      <c r="D103" s="268" t="s">
        <v>305</v>
      </c>
      <c r="E103" s="268"/>
      <c r="F103" s="269"/>
      <c r="G103" s="270"/>
      <c r="H103" s="270"/>
      <c r="I103" s="270"/>
      <c r="J103" s="271"/>
      <c r="K103" s="271"/>
      <c r="L103" s="271"/>
      <c r="M103" s="271"/>
      <c r="N103" s="271"/>
      <c r="O103" s="271"/>
      <c r="P103" s="271"/>
      <c r="Q103" s="271"/>
      <c r="R103" s="271"/>
      <c r="S103" s="271"/>
      <c r="T103" s="258"/>
      <c r="U103" s="258"/>
      <c r="V103" s="258"/>
      <c r="W103" s="272"/>
      <c r="X103" s="272"/>
      <c r="Y103" s="272"/>
      <c r="Z103" s="272"/>
      <c r="AA103" s="258"/>
      <c r="AB103" s="273"/>
      <c r="AC103" s="273"/>
      <c r="AE103" s="266"/>
      <c r="AF103" s="266"/>
      <c r="AG103" s="266"/>
      <c r="AH103" s="266"/>
      <c r="AI103" s="266"/>
      <c r="AJ103" s="266"/>
      <c r="AK103" s="266"/>
    </row>
    <row r="104" spans="1:37" s="188" customFormat="1" ht="32" hidden="1" customHeight="1">
      <c r="A104" s="274"/>
      <c r="B104" s="274"/>
      <c r="C104" s="274"/>
      <c r="D104" s="274" t="s">
        <v>98</v>
      </c>
      <c r="E104" s="274"/>
      <c r="F104" s="274"/>
      <c r="G104" s="274"/>
      <c r="H104" s="274"/>
      <c r="I104" s="274"/>
      <c r="J104" s="274">
        <f>IF(F19&gt;0,(IF(((J19-F19)*24)&lt;1.01,(((J19-F19)*24)),(((J19-F19)*24)))),"")</f>
        <v>3</v>
      </c>
      <c r="K104" s="274"/>
      <c r="L104" s="274"/>
      <c r="M104" s="274"/>
      <c r="N104" s="275"/>
      <c r="O104" s="275"/>
      <c r="P104" s="275">
        <v>0</v>
      </c>
      <c r="Q104" s="275"/>
      <c r="R104" s="276"/>
      <c r="S104" s="274"/>
      <c r="T104" s="274">
        <f>COUNT(AGREEMENT!B22,AGREEMENT!B25:AA25)</f>
        <v>1</v>
      </c>
      <c r="U104" s="274" t="str">
        <f>IF(AGREEMENT!P145=1,AGREEMENT!D136&amp;" series",IF(AGREEMENT!P145=2,AGREEMENT!D137&amp;" series",""))</f>
        <v>semi-private series</v>
      </c>
      <c r="V104" s="274"/>
      <c r="W104" s="274"/>
      <c r="X104" s="274"/>
      <c r="Y104" s="274"/>
      <c r="Z104" s="274"/>
      <c r="AA104" s="274"/>
      <c r="AB104" s="274"/>
      <c r="AC104" s="274"/>
      <c r="AE104" s="215"/>
      <c r="AF104" s="215"/>
      <c r="AG104" s="215"/>
      <c r="AH104" s="215"/>
      <c r="AI104" s="215"/>
      <c r="AJ104" s="215"/>
      <c r="AK104" s="215"/>
    </row>
    <row r="105" spans="1:37" s="162" customFormat="1" ht="32" hidden="1" customHeight="1">
      <c r="A105" s="277"/>
      <c r="B105" s="277"/>
      <c r="C105" s="277"/>
      <c r="D105" s="277" t="s">
        <v>149</v>
      </c>
      <c r="E105" s="277"/>
      <c r="F105" s="277"/>
      <c r="G105" s="277"/>
      <c r="H105" s="277"/>
      <c r="I105" s="277"/>
      <c r="J105" s="277"/>
      <c r="K105" s="277"/>
      <c r="L105" s="277"/>
      <c r="M105" s="277"/>
      <c r="N105" s="277"/>
      <c r="O105" s="277"/>
      <c r="P105" s="277"/>
      <c r="Q105" s="277"/>
      <c r="R105" s="277"/>
      <c r="S105" s="277"/>
      <c r="T105" s="277"/>
      <c r="U105" s="277" t="str">
        <f>IF(AGREEMENT!P145=1,AGREEMENT!D136&amp;" event",IF(AGREEMENT!P145=2,AGREEMENT!D137&amp;" event",""))</f>
        <v>semi-private event</v>
      </c>
      <c r="V105" s="277"/>
      <c r="W105" s="277"/>
      <c r="X105" s="277"/>
      <c r="Y105" s="277"/>
      <c r="Z105" s="277"/>
      <c r="AA105" s="277"/>
      <c r="AB105" s="277"/>
      <c r="AC105" s="277"/>
      <c r="AD105" s="278"/>
      <c r="AE105" s="161"/>
      <c r="AF105" s="161"/>
      <c r="AG105" s="161"/>
      <c r="AH105" s="161"/>
      <c r="AI105" s="161"/>
      <c r="AJ105" s="161"/>
      <c r="AK105" s="161"/>
    </row>
    <row r="106" spans="1:37" s="162" customFormat="1" ht="32" hidden="1" customHeight="1">
      <c r="A106" s="279"/>
      <c r="B106" s="279"/>
      <c r="C106" s="279"/>
      <c r="D106" s="279"/>
      <c r="E106" s="279"/>
      <c r="F106" s="279"/>
      <c r="G106" s="279"/>
      <c r="H106" s="279"/>
      <c r="I106" s="279"/>
      <c r="J106" s="279"/>
      <c r="K106" s="279"/>
      <c r="L106" s="279"/>
      <c r="M106" s="279"/>
      <c r="N106" s="279"/>
      <c r="O106" s="279"/>
      <c r="P106" s="279"/>
      <c r="Q106" s="279"/>
      <c r="R106" s="279"/>
      <c r="S106" s="279"/>
      <c r="T106" s="279"/>
      <c r="U106" s="279"/>
      <c r="V106" s="279"/>
      <c r="W106" s="279"/>
      <c r="X106" s="279"/>
      <c r="Y106" s="279"/>
      <c r="Z106" s="279"/>
      <c r="AA106" s="279"/>
      <c r="AB106" s="279"/>
      <c r="AC106" s="279"/>
      <c r="AD106" s="169"/>
      <c r="AE106" s="161"/>
      <c r="AF106" s="161"/>
      <c r="AG106" s="161"/>
      <c r="AH106" s="161"/>
      <c r="AI106" s="161"/>
      <c r="AJ106" s="161"/>
      <c r="AK106" s="161"/>
    </row>
    <row r="107" spans="1:37" s="162" customFormat="1" ht="32" hidden="1" customHeight="1">
      <c r="A107" s="279"/>
      <c r="B107" s="279"/>
      <c r="C107" s="279"/>
      <c r="D107" s="279"/>
      <c r="E107" s="279"/>
      <c r="F107" s="279"/>
      <c r="G107" s="279"/>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169"/>
      <c r="AE107" s="161"/>
      <c r="AF107" s="161"/>
      <c r="AG107" s="161"/>
      <c r="AH107" s="161"/>
      <c r="AI107" s="161"/>
      <c r="AJ107" s="161"/>
      <c r="AK107" s="161"/>
    </row>
    <row r="108" spans="1:37" s="162" customFormat="1" ht="32" hidden="1" customHeight="1">
      <c r="A108" s="279"/>
      <c r="B108" s="279"/>
      <c r="C108" s="279"/>
      <c r="D108" s="279"/>
      <c r="E108" s="279"/>
      <c r="F108" s="279"/>
      <c r="G108" s="279"/>
      <c r="H108" s="279"/>
      <c r="I108" s="279"/>
      <c r="J108" s="279"/>
      <c r="K108" s="279"/>
      <c r="L108" s="279"/>
      <c r="M108" s="279"/>
      <c r="N108" s="279"/>
      <c r="O108" s="279"/>
      <c r="P108" s="279"/>
      <c r="Q108" s="279"/>
      <c r="R108" s="279"/>
      <c r="S108" s="279"/>
      <c r="T108" s="279"/>
      <c r="U108" s="279"/>
      <c r="V108" s="279"/>
      <c r="W108" s="279"/>
      <c r="X108" s="279"/>
      <c r="Y108" s="279"/>
      <c r="Z108" s="279"/>
      <c r="AA108" s="279"/>
      <c r="AB108" s="279"/>
      <c r="AC108" s="279"/>
      <c r="AD108" s="169"/>
      <c r="AE108" s="161"/>
      <c r="AF108" s="161"/>
      <c r="AG108" s="161"/>
      <c r="AH108" s="161"/>
      <c r="AI108" s="161"/>
      <c r="AJ108" s="161"/>
      <c r="AK108" s="161"/>
    </row>
    <row r="109" spans="1:37" s="162" customFormat="1" ht="12" hidden="1" customHeight="1">
      <c r="A109" s="279"/>
      <c r="B109" s="279"/>
      <c r="C109" s="279"/>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c r="AD109" s="169"/>
      <c r="AE109" s="161"/>
      <c r="AF109" s="161"/>
      <c r="AG109" s="161"/>
      <c r="AH109" s="161"/>
      <c r="AI109" s="161"/>
      <c r="AJ109" s="161"/>
      <c r="AK109" s="161"/>
    </row>
    <row r="110" spans="1:37" s="162" customFormat="1" ht="12" hidden="1" customHeight="1">
      <c r="A110" s="279"/>
      <c r="B110" s="279"/>
      <c r="C110" s="279"/>
      <c r="D110" s="279"/>
      <c r="E110" s="279"/>
      <c r="F110" s="279"/>
      <c r="G110" s="279"/>
      <c r="H110" s="279"/>
      <c r="I110" s="279"/>
      <c r="J110" s="279"/>
      <c r="K110" s="279"/>
      <c r="L110" s="279"/>
      <c r="M110" s="279"/>
      <c r="N110" s="279"/>
      <c r="O110" s="279"/>
      <c r="P110" s="279"/>
      <c r="Q110" s="279"/>
      <c r="R110" s="279"/>
      <c r="S110" s="279"/>
      <c r="T110" s="279"/>
      <c r="U110" s="279"/>
      <c r="V110" s="279"/>
      <c r="W110" s="279"/>
      <c r="X110" s="279"/>
      <c r="Y110" s="279"/>
      <c r="Z110" s="279"/>
      <c r="AA110" s="279"/>
      <c r="AB110" s="279"/>
      <c r="AC110" s="279"/>
      <c r="AD110" s="169"/>
      <c r="AE110" s="161"/>
      <c r="AF110" s="161"/>
      <c r="AG110" s="161"/>
      <c r="AH110" s="161"/>
      <c r="AI110" s="161"/>
      <c r="AJ110" s="161"/>
      <c r="AK110" s="161"/>
    </row>
    <row r="111" spans="1:37" s="162" customFormat="1" ht="12" hidden="1" customHeight="1">
      <c r="A111" s="279"/>
      <c r="B111" s="279"/>
      <c r="C111" s="279"/>
      <c r="D111" s="279"/>
      <c r="E111" s="279"/>
      <c r="F111" s="279"/>
      <c r="G111" s="279"/>
      <c r="H111" s="279"/>
      <c r="I111" s="279"/>
      <c r="J111" s="279"/>
      <c r="K111" s="279"/>
      <c r="L111" s="279"/>
      <c r="M111" s="279"/>
      <c r="N111" s="279"/>
      <c r="O111" s="279"/>
      <c r="P111" s="279"/>
      <c r="Q111" s="279"/>
      <c r="R111" s="279"/>
      <c r="S111" s="279"/>
      <c r="T111" s="279"/>
      <c r="U111" s="279"/>
      <c r="V111" s="279"/>
      <c r="W111" s="279"/>
      <c r="X111" s="279"/>
      <c r="Y111" s="279"/>
      <c r="Z111" s="279"/>
      <c r="AA111" s="279"/>
      <c r="AB111" s="279"/>
      <c r="AC111" s="279"/>
      <c r="AD111" s="169"/>
      <c r="AE111" s="161"/>
      <c r="AF111" s="161"/>
      <c r="AG111" s="161"/>
      <c r="AH111" s="161"/>
      <c r="AI111" s="161"/>
      <c r="AJ111" s="161"/>
      <c r="AK111" s="161"/>
    </row>
    <row r="112" spans="1:37" s="162" customFormat="1" ht="12" hidden="1" customHeight="1">
      <c r="A112" s="279"/>
      <c r="B112" s="279"/>
      <c r="C112" s="279"/>
      <c r="D112" s="279"/>
      <c r="E112" s="279"/>
      <c r="F112" s="279"/>
      <c r="G112" s="279"/>
      <c r="H112" s="279"/>
      <c r="I112" s="279"/>
      <c r="J112" s="279"/>
      <c r="K112" s="279"/>
      <c r="L112" s="279"/>
      <c r="M112" s="279"/>
      <c r="N112" s="279"/>
      <c r="O112" s="279"/>
      <c r="P112" s="279"/>
      <c r="Q112" s="279"/>
      <c r="R112" s="279"/>
      <c r="S112" s="279"/>
      <c r="T112" s="279"/>
      <c r="U112" s="279"/>
      <c r="V112" s="279"/>
      <c r="W112" s="279"/>
      <c r="X112" s="279"/>
      <c r="Y112" s="279"/>
      <c r="Z112" s="279"/>
      <c r="AA112" s="279"/>
      <c r="AB112" s="279"/>
      <c r="AC112" s="279"/>
      <c r="AD112" s="169"/>
      <c r="AE112" s="161"/>
      <c r="AF112" s="161"/>
      <c r="AG112" s="161"/>
      <c r="AH112" s="161"/>
      <c r="AI112" s="161"/>
      <c r="AJ112" s="161"/>
      <c r="AK112" s="161"/>
    </row>
    <row r="113" spans="1:37" s="162" customFormat="1" ht="105" hidden="1" customHeight="1">
      <c r="A113" s="279"/>
      <c r="B113" s="279"/>
      <c r="C113" s="279"/>
      <c r="D113" s="279"/>
      <c r="E113" s="279"/>
      <c r="F113" s="279"/>
      <c r="G113" s="279"/>
      <c r="H113" s="279"/>
      <c r="I113" s="279"/>
      <c r="J113" s="279"/>
      <c r="K113" s="279"/>
      <c r="L113" s="279"/>
      <c r="M113" s="279"/>
      <c r="N113" s="279"/>
      <c r="O113" s="279"/>
      <c r="P113" s="279"/>
      <c r="Q113" s="279"/>
      <c r="R113" s="279"/>
      <c r="S113" s="279"/>
      <c r="T113" s="279"/>
      <c r="U113" s="279"/>
      <c r="V113" s="279"/>
      <c r="W113" s="279"/>
      <c r="X113" s="279"/>
      <c r="Y113" s="279"/>
      <c r="Z113" s="279"/>
      <c r="AA113" s="279"/>
      <c r="AB113" s="279"/>
      <c r="AC113" s="279"/>
      <c r="AD113" s="169"/>
      <c r="AE113" s="161"/>
      <c r="AF113" s="161"/>
      <c r="AG113" s="161"/>
      <c r="AH113" s="161"/>
      <c r="AI113" s="161"/>
      <c r="AJ113" s="161"/>
      <c r="AK113" s="161"/>
    </row>
    <row r="114" spans="1:37" s="162" customFormat="1" ht="5" hidden="1" customHeight="1">
      <c r="A114" s="279"/>
      <c r="B114" s="279"/>
      <c r="C114" s="279"/>
      <c r="D114" s="279"/>
      <c r="E114" s="279"/>
      <c r="F114" s="279"/>
      <c r="G114" s="279"/>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169"/>
      <c r="AE114" s="161"/>
      <c r="AF114" s="161"/>
      <c r="AG114" s="161"/>
      <c r="AH114" s="161"/>
      <c r="AI114" s="161"/>
      <c r="AJ114" s="161"/>
      <c r="AK114" s="161"/>
    </row>
    <row r="115" spans="1:37" s="162" customFormat="1" ht="12" hidden="1" customHeight="1">
      <c r="A115" s="279"/>
      <c r="B115" s="279"/>
      <c r="C115" s="279"/>
      <c r="D115" s="279"/>
      <c r="E115" s="279"/>
      <c r="F115" s="279"/>
      <c r="G115" s="279"/>
      <c r="H115" s="279"/>
      <c r="I115" s="279"/>
      <c r="J115" s="279"/>
      <c r="K115" s="279"/>
      <c r="L115" s="279"/>
      <c r="M115" s="279"/>
      <c r="N115" s="279"/>
      <c r="O115" s="279"/>
      <c r="P115" s="279"/>
      <c r="Q115" s="279"/>
      <c r="R115" s="279"/>
      <c r="S115" s="279"/>
      <c r="T115" s="279"/>
      <c r="U115" s="279"/>
      <c r="V115" s="279"/>
      <c r="W115" s="279"/>
      <c r="X115" s="279"/>
      <c r="Y115" s="279"/>
      <c r="Z115" s="279"/>
      <c r="AA115" s="279"/>
      <c r="AB115" s="279"/>
      <c r="AC115" s="279"/>
      <c r="AD115" s="169"/>
      <c r="AE115" s="161"/>
      <c r="AF115" s="161"/>
      <c r="AG115" s="161"/>
      <c r="AH115" s="161"/>
      <c r="AI115" s="161"/>
      <c r="AJ115" s="161"/>
      <c r="AK115" s="161"/>
    </row>
    <row r="116" spans="1:37" s="162" customFormat="1" ht="12" hidden="1" customHeight="1">
      <c r="A116" s="279"/>
      <c r="B116" s="279"/>
      <c r="C116" s="279"/>
      <c r="D116" s="279"/>
      <c r="E116" s="279"/>
      <c r="F116" s="279"/>
      <c r="G116" s="279"/>
      <c r="H116" s="279"/>
      <c r="I116" s="279"/>
      <c r="J116" s="279"/>
      <c r="K116" s="279"/>
      <c r="L116" s="279"/>
      <c r="M116" s="279"/>
      <c r="N116" s="279"/>
      <c r="O116" s="279"/>
      <c r="P116" s="279"/>
      <c r="Q116" s="279"/>
      <c r="R116" s="279"/>
      <c r="S116" s="279"/>
      <c r="T116" s="279"/>
      <c r="U116" s="279"/>
      <c r="V116" s="279"/>
      <c r="W116" s="279"/>
      <c r="X116" s="279"/>
      <c r="Y116" s="279"/>
      <c r="Z116" s="279"/>
      <c r="AA116" s="279"/>
      <c r="AB116" s="279"/>
      <c r="AC116" s="279"/>
      <c r="AD116" s="169"/>
      <c r="AE116" s="161"/>
      <c r="AF116" s="161"/>
      <c r="AG116" s="161"/>
      <c r="AH116" s="161"/>
      <c r="AI116" s="161"/>
      <c r="AJ116" s="161"/>
      <c r="AK116" s="161"/>
    </row>
    <row r="117" spans="1:37" s="162" customFormat="1" ht="12" hidden="1" customHeight="1">
      <c r="A117" s="279"/>
      <c r="B117" s="279"/>
      <c r="C117" s="279"/>
      <c r="D117" s="279"/>
      <c r="E117" s="279"/>
      <c r="F117" s="279"/>
      <c r="G117" s="279"/>
      <c r="H117" s="279"/>
      <c r="I117" s="279"/>
      <c r="J117" s="279"/>
      <c r="K117" s="279"/>
      <c r="L117" s="279"/>
      <c r="M117" s="279"/>
      <c r="N117" s="279"/>
      <c r="O117" s="279"/>
      <c r="P117" s="279"/>
      <c r="Q117" s="279"/>
      <c r="R117" s="279"/>
      <c r="S117" s="279"/>
      <c r="T117" s="279"/>
      <c r="U117" s="279"/>
      <c r="V117" s="279"/>
      <c r="W117" s="279"/>
      <c r="X117" s="279"/>
      <c r="Y117" s="279"/>
      <c r="Z117" s="279"/>
      <c r="AA117" s="279"/>
      <c r="AB117" s="279"/>
      <c r="AC117" s="279"/>
      <c r="AD117" s="169"/>
      <c r="AE117" s="161"/>
      <c r="AF117" s="161"/>
      <c r="AG117" s="161"/>
      <c r="AH117" s="161"/>
      <c r="AI117" s="161"/>
      <c r="AJ117" s="161"/>
      <c r="AK117" s="161"/>
    </row>
    <row r="118" spans="1:37" s="162" customFormat="1" ht="12" hidden="1" customHeight="1">
      <c r="A118" s="279"/>
      <c r="B118" s="279"/>
      <c r="C118" s="279"/>
      <c r="D118" s="279"/>
      <c r="E118" s="279"/>
      <c r="F118" s="279"/>
      <c r="G118" s="279"/>
      <c r="H118" s="279"/>
      <c r="I118" s="279"/>
      <c r="J118" s="279"/>
      <c r="K118" s="279"/>
      <c r="L118" s="279"/>
      <c r="M118" s="279"/>
      <c r="N118" s="279"/>
      <c r="O118" s="279"/>
      <c r="P118" s="279"/>
      <c r="Q118" s="279"/>
      <c r="R118" s="279"/>
      <c r="S118" s="279"/>
      <c r="T118" s="279"/>
      <c r="U118" s="279"/>
      <c r="V118" s="279"/>
      <c r="W118" s="279"/>
      <c r="X118" s="279"/>
      <c r="Y118" s="279"/>
      <c r="Z118" s="279"/>
      <c r="AA118" s="279"/>
      <c r="AB118" s="279"/>
      <c r="AC118" s="279"/>
      <c r="AD118" s="169"/>
      <c r="AE118" s="161"/>
      <c r="AF118" s="161"/>
      <c r="AG118" s="161"/>
      <c r="AH118" s="161"/>
      <c r="AI118" s="161"/>
      <c r="AJ118" s="161"/>
      <c r="AK118" s="161"/>
    </row>
    <row r="119" spans="1:37" s="162" customFormat="1" ht="12" hidden="1" customHeight="1">
      <c r="A119" s="279"/>
      <c r="B119" s="279"/>
      <c r="C119" s="279"/>
      <c r="D119" s="279"/>
      <c r="E119" s="279"/>
      <c r="F119" s="279"/>
      <c r="G119" s="279"/>
      <c r="H119" s="279"/>
      <c r="I119" s="279"/>
      <c r="J119" s="279"/>
      <c r="K119" s="279"/>
      <c r="L119" s="279"/>
      <c r="M119" s="279"/>
      <c r="N119" s="279"/>
      <c r="O119" s="279"/>
      <c r="P119" s="279"/>
      <c r="Q119" s="279"/>
      <c r="R119" s="279"/>
      <c r="S119" s="279"/>
      <c r="T119" s="279"/>
      <c r="U119" s="279"/>
      <c r="V119" s="279"/>
      <c r="W119" s="279"/>
      <c r="X119" s="279"/>
      <c r="Y119" s="279"/>
      <c r="Z119" s="279"/>
      <c r="AA119" s="279"/>
      <c r="AB119" s="279"/>
      <c r="AC119" s="279"/>
      <c r="AD119" s="169"/>
      <c r="AE119" s="161"/>
      <c r="AF119" s="161"/>
      <c r="AG119" s="161"/>
      <c r="AH119" s="161"/>
      <c r="AI119" s="161"/>
      <c r="AJ119" s="161"/>
      <c r="AK119" s="161"/>
    </row>
    <row r="120" spans="1:37" s="162" customFormat="1" ht="12" hidden="1" customHeight="1">
      <c r="A120" s="279"/>
      <c r="B120" s="279"/>
      <c r="C120" s="279"/>
      <c r="D120" s="279"/>
      <c r="E120" s="279"/>
      <c r="F120" s="279"/>
      <c r="G120" s="279"/>
      <c r="H120" s="279"/>
      <c r="I120" s="279"/>
      <c r="J120" s="279"/>
      <c r="K120" s="279"/>
      <c r="L120" s="279"/>
      <c r="M120" s="279"/>
      <c r="N120" s="279"/>
      <c r="O120" s="279"/>
      <c r="P120" s="279"/>
      <c r="Q120" s="279"/>
      <c r="R120" s="279"/>
      <c r="S120" s="279"/>
      <c r="T120" s="279"/>
      <c r="U120" s="279"/>
      <c r="V120" s="279"/>
      <c r="W120" s="279"/>
      <c r="X120" s="279"/>
      <c r="Y120" s="279"/>
      <c r="Z120" s="279"/>
      <c r="AA120" s="279"/>
      <c r="AB120" s="279"/>
      <c r="AC120" s="279"/>
      <c r="AD120" s="169"/>
      <c r="AE120" s="161"/>
      <c r="AF120" s="161"/>
      <c r="AG120" s="161"/>
      <c r="AH120" s="161"/>
      <c r="AI120" s="161"/>
      <c r="AJ120" s="161"/>
      <c r="AK120" s="161"/>
    </row>
    <row r="121" spans="1:37" s="162" customFormat="1" ht="12" hidden="1" customHeight="1">
      <c r="A121" s="279"/>
      <c r="B121" s="279"/>
      <c r="C121" s="279"/>
      <c r="D121" s="279"/>
      <c r="E121" s="279"/>
      <c r="F121" s="279"/>
      <c r="G121" s="279"/>
      <c r="H121" s="279"/>
      <c r="I121" s="279"/>
      <c r="J121" s="279"/>
      <c r="K121" s="279"/>
      <c r="L121" s="279"/>
      <c r="M121" s="279"/>
      <c r="N121" s="279"/>
      <c r="O121" s="279"/>
      <c r="P121" s="279"/>
      <c r="Q121" s="279"/>
      <c r="R121" s="279"/>
      <c r="S121" s="279"/>
      <c r="T121" s="279"/>
      <c r="U121" s="279"/>
      <c r="V121" s="279"/>
      <c r="W121" s="279"/>
      <c r="X121" s="279"/>
      <c r="Y121" s="279"/>
      <c r="Z121" s="279"/>
      <c r="AA121" s="279"/>
      <c r="AB121" s="279"/>
      <c r="AC121" s="279"/>
      <c r="AD121" s="169"/>
      <c r="AE121" s="161"/>
      <c r="AF121" s="161"/>
      <c r="AG121" s="161"/>
      <c r="AH121" s="161"/>
      <c r="AI121" s="161"/>
      <c r="AJ121" s="161"/>
      <c r="AK121" s="161"/>
    </row>
    <row r="122" spans="1:37" s="162" customFormat="1" ht="12" hidden="1" customHeight="1">
      <c r="A122" s="279"/>
      <c r="B122" s="279"/>
      <c r="C122" s="279"/>
      <c r="D122" s="279"/>
      <c r="E122" s="279"/>
      <c r="F122" s="279"/>
      <c r="G122" s="279"/>
      <c r="H122" s="279"/>
      <c r="I122" s="279"/>
      <c r="J122" s="279"/>
      <c r="K122" s="279"/>
      <c r="L122" s="279"/>
      <c r="M122" s="279"/>
      <c r="N122" s="279"/>
      <c r="O122" s="279"/>
      <c r="P122" s="279"/>
      <c r="Q122" s="279"/>
      <c r="R122" s="279"/>
      <c r="S122" s="279"/>
      <c r="T122" s="279"/>
      <c r="U122" s="279"/>
      <c r="V122" s="279"/>
      <c r="W122" s="279"/>
      <c r="X122" s="279"/>
      <c r="Y122" s="279"/>
      <c r="Z122" s="279"/>
      <c r="AA122" s="279"/>
      <c r="AB122" s="279"/>
      <c r="AC122" s="279"/>
      <c r="AD122" s="169"/>
      <c r="AE122" s="161"/>
      <c r="AF122" s="161"/>
      <c r="AG122" s="161"/>
      <c r="AH122" s="161"/>
      <c r="AI122" s="161"/>
      <c r="AJ122" s="161"/>
      <c r="AK122" s="161"/>
    </row>
    <row r="123" spans="1:37" s="162" customFormat="1" ht="12" hidden="1" customHeight="1">
      <c r="A123" s="161"/>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c r="AA123" s="161"/>
      <c r="AB123" s="161"/>
      <c r="AC123" s="161"/>
      <c r="AE123" s="161"/>
      <c r="AF123" s="161"/>
      <c r="AG123" s="161"/>
      <c r="AH123" s="161"/>
      <c r="AI123" s="161"/>
      <c r="AJ123" s="161"/>
      <c r="AK123" s="161"/>
    </row>
    <row r="124" spans="1:37" s="162" customFormat="1" ht="12" hidden="1" customHeight="1">
      <c r="A124" s="161"/>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c r="AA124" s="161"/>
      <c r="AB124" s="161"/>
      <c r="AC124" s="161"/>
      <c r="AE124" s="161"/>
      <c r="AF124" s="161"/>
      <c r="AG124" s="161"/>
      <c r="AH124" s="161"/>
      <c r="AI124" s="161"/>
      <c r="AJ124" s="161"/>
      <c r="AK124" s="161"/>
    </row>
    <row r="125" spans="1:37" s="162" customFormat="1" ht="12" hidden="1" customHeight="1">
      <c r="A125" s="161"/>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c r="AA125" s="161"/>
      <c r="AB125" s="161"/>
      <c r="AC125" s="161"/>
      <c r="AE125" s="161"/>
      <c r="AF125" s="161"/>
      <c r="AG125" s="161"/>
      <c r="AH125" s="161"/>
      <c r="AI125" s="161"/>
      <c r="AJ125" s="161"/>
      <c r="AK125" s="161"/>
    </row>
    <row r="126" spans="1:37" s="162" customFormat="1" ht="12" hidden="1" customHeight="1">
      <c r="A126" s="161"/>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E126" s="161"/>
      <c r="AF126" s="161"/>
      <c r="AG126" s="161"/>
      <c r="AH126" s="161"/>
      <c r="AI126" s="161"/>
      <c r="AJ126" s="161"/>
      <c r="AK126" s="161"/>
    </row>
    <row r="127" spans="1:37" s="162" customFormat="1" ht="10" hidden="1" customHeight="1">
      <c r="A127" s="161"/>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E127" s="161"/>
      <c r="AF127" s="161"/>
      <c r="AG127" s="161"/>
      <c r="AH127" s="161"/>
      <c r="AI127" s="161"/>
      <c r="AJ127" s="161"/>
      <c r="AK127" s="161"/>
    </row>
    <row r="128" spans="1:37" s="162" customFormat="1" ht="12" hidden="1" customHeight="1">
      <c r="A128" s="161"/>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E128" s="161"/>
      <c r="AF128" s="161"/>
      <c r="AG128" s="161"/>
      <c r="AH128" s="161"/>
      <c r="AI128" s="161"/>
      <c r="AJ128" s="161"/>
      <c r="AK128" s="161"/>
    </row>
    <row r="129" spans="1:37" s="162" customFormat="1" ht="12" hidden="1" customHeight="1">
      <c r="A129" s="161"/>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E129" s="161"/>
      <c r="AF129" s="161"/>
      <c r="AG129" s="161"/>
      <c r="AH129" s="161"/>
      <c r="AI129" s="161"/>
      <c r="AJ129" s="161"/>
      <c r="AK129" s="161"/>
    </row>
    <row r="130" spans="1:37" s="162" customFormat="1" ht="12" hidden="1" customHeight="1">
      <c r="A130" s="161"/>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E130" s="161"/>
      <c r="AF130" s="161"/>
      <c r="AG130" s="161"/>
      <c r="AH130" s="161"/>
      <c r="AI130" s="161"/>
      <c r="AJ130" s="161"/>
      <c r="AK130" s="161"/>
    </row>
    <row r="131" spans="1:37" s="162" customFormat="1" ht="12" hidden="1" customHeight="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E131" s="161"/>
      <c r="AF131" s="161"/>
      <c r="AG131" s="161"/>
      <c r="AH131" s="161"/>
      <c r="AI131" s="161"/>
      <c r="AJ131" s="161"/>
      <c r="AK131" s="161"/>
    </row>
    <row r="132" spans="1:37" s="162" customFormat="1" ht="12" hidden="1" customHeight="1">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E132" s="161"/>
      <c r="AF132" s="161"/>
      <c r="AG132" s="161"/>
      <c r="AH132" s="161"/>
      <c r="AI132" s="161"/>
      <c r="AJ132" s="161"/>
      <c r="AK132" s="161"/>
    </row>
    <row r="133" spans="1:37" s="162" customFormat="1" ht="12" customHeight="1">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E133" s="161"/>
      <c r="AF133" s="161"/>
      <c r="AG133" s="161"/>
      <c r="AH133" s="161"/>
      <c r="AI133" s="161"/>
      <c r="AJ133" s="161"/>
      <c r="AK133" s="161"/>
    </row>
    <row r="134" spans="1:37" s="162" customFormat="1" ht="12" customHeight="1">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E134" s="161"/>
      <c r="AF134" s="161"/>
      <c r="AG134" s="161"/>
      <c r="AH134" s="161"/>
      <c r="AI134" s="161"/>
      <c r="AJ134" s="161"/>
      <c r="AK134" s="161"/>
    </row>
    <row r="135" spans="1:37" s="162" customFormat="1" ht="12" customHeight="1">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E135" s="161"/>
      <c r="AF135" s="161"/>
      <c r="AG135" s="161"/>
      <c r="AH135" s="161"/>
      <c r="AI135" s="161"/>
      <c r="AJ135" s="161"/>
      <c r="AK135" s="161"/>
    </row>
    <row r="136" spans="1:37" s="162" customFormat="1" ht="12" customHeight="1">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E136" s="161"/>
      <c r="AF136" s="161"/>
      <c r="AG136" s="161"/>
      <c r="AH136" s="161"/>
      <c r="AI136" s="161"/>
      <c r="AJ136" s="161"/>
      <c r="AK136" s="161"/>
    </row>
    <row r="137" spans="1:37" s="162" customFormat="1" ht="12" customHeight="1">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E137" s="161"/>
      <c r="AF137" s="161"/>
      <c r="AG137" s="161"/>
      <c r="AH137" s="161"/>
      <c r="AI137" s="161"/>
      <c r="AJ137" s="161"/>
      <c r="AK137" s="161"/>
    </row>
    <row r="138" spans="1:37" s="162" customFormat="1" ht="12" customHeight="1">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c r="AA138" s="161"/>
      <c r="AB138" s="161"/>
      <c r="AC138" s="161"/>
      <c r="AE138" s="161"/>
      <c r="AF138" s="161"/>
      <c r="AG138" s="161"/>
      <c r="AH138" s="161"/>
      <c r="AI138" s="161"/>
      <c r="AJ138" s="161"/>
      <c r="AK138" s="161"/>
    </row>
    <row r="139" spans="1:37" s="162" customFormat="1" ht="12" customHeight="1">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c r="AA139" s="161"/>
      <c r="AB139" s="161"/>
      <c r="AC139" s="161"/>
      <c r="AE139" s="161"/>
      <c r="AF139" s="161"/>
      <c r="AG139" s="161"/>
      <c r="AH139" s="161"/>
      <c r="AI139" s="161"/>
      <c r="AJ139" s="161"/>
      <c r="AK139" s="161"/>
    </row>
    <row r="140" spans="1:37" s="162" customFormat="1" ht="12" customHeight="1">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c r="AA140" s="161"/>
      <c r="AB140" s="161"/>
      <c r="AC140" s="161"/>
      <c r="AE140" s="161"/>
      <c r="AF140" s="161"/>
      <c r="AG140" s="161"/>
      <c r="AH140" s="161"/>
      <c r="AI140" s="161"/>
      <c r="AJ140" s="161"/>
      <c r="AK140" s="161"/>
    </row>
    <row r="141" spans="1:37" s="162" customFormat="1" ht="12" customHeight="1">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c r="AA141" s="161"/>
      <c r="AB141" s="161"/>
      <c r="AC141" s="161"/>
      <c r="AE141" s="161"/>
      <c r="AF141" s="161"/>
      <c r="AG141" s="161"/>
      <c r="AH141" s="161"/>
      <c r="AI141" s="161"/>
      <c r="AJ141" s="161"/>
      <c r="AK141" s="161"/>
    </row>
    <row r="142" spans="1:37" s="162" customFormat="1" ht="12" customHeight="1">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E142" s="161"/>
      <c r="AF142" s="161"/>
      <c r="AG142" s="161"/>
      <c r="AH142" s="161"/>
      <c r="AI142" s="161"/>
      <c r="AJ142" s="161"/>
      <c r="AK142" s="161"/>
    </row>
    <row r="143" spans="1:37" s="162" customFormat="1" ht="12" customHeight="1">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E143" s="161"/>
      <c r="AF143" s="161"/>
      <c r="AG143" s="161"/>
      <c r="AH143" s="161"/>
      <c r="AI143" s="161"/>
      <c r="AJ143" s="161"/>
      <c r="AK143" s="161"/>
    </row>
    <row r="144" spans="1:37" s="162" customFormat="1" ht="12" customHeight="1">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E144" s="161"/>
      <c r="AF144" s="161"/>
      <c r="AG144" s="161"/>
      <c r="AH144" s="161"/>
      <c r="AI144" s="161"/>
      <c r="AJ144" s="161"/>
      <c r="AK144" s="161"/>
    </row>
    <row r="145" spans="1:37" s="162" customFormat="1" ht="12" customHeight="1">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c r="AB145" s="161"/>
      <c r="AC145" s="161"/>
      <c r="AE145" s="161"/>
      <c r="AF145" s="161"/>
      <c r="AG145" s="161"/>
      <c r="AH145" s="161"/>
      <c r="AI145" s="161"/>
      <c r="AJ145" s="161"/>
      <c r="AK145" s="161"/>
    </row>
    <row r="146" spans="1:37" s="162" customFormat="1" ht="12" customHeight="1">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E146" s="161"/>
      <c r="AF146" s="161"/>
      <c r="AG146" s="161"/>
      <c r="AH146" s="161"/>
      <c r="AI146" s="161"/>
      <c r="AJ146" s="161"/>
      <c r="AK146" s="161"/>
    </row>
    <row r="147" spans="1:37" s="162" customFormat="1" ht="12" customHeight="1">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E147" s="161"/>
      <c r="AF147" s="161"/>
      <c r="AG147" s="161"/>
      <c r="AH147" s="161"/>
      <c r="AI147" s="161"/>
      <c r="AJ147" s="161"/>
      <c r="AK147" s="161"/>
    </row>
    <row r="148" spans="1:37" s="162" customFormat="1" ht="12" customHeight="1">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c r="AA148" s="161"/>
      <c r="AB148" s="161"/>
      <c r="AC148" s="161"/>
      <c r="AE148" s="161"/>
      <c r="AF148" s="161"/>
      <c r="AG148" s="161"/>
      <c r="AH148" s="161"/>
      <c r="AI148" s="161"/>
      <c r="AJ148" s="161"/>
      <c r="AK148" s="161"/>
    </row>
    <row r="149" spans="1:37" s="162" customFormat="1" ht="12" customHeight="1">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c r="AA149" s="161"/>
      <c r="AB149" s="161"/>
      <c r="AC149" s="161"/>
      <c r="AE149" s="161"/>
      <c r="AF149" s="161"/>
      <c r="AG149" s="161"/>
      <c r="AH149" s="161"/>
      <c r="AI149" s="161"/>
      <c r="AJ149" s="161"/>
      <c r="AK149" s="161"/>
    </row>
    <row r="150" spans="1:37" s="162" customFormat="1" ht="12" customHeight="1">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c r="AB150" s="161"/>
      <c r="AC150" s="161"/>
      <c r="AE150" s="161"/>
      <c r="AF150" s="161"/>
      <c r="AG150" s="161"/>
      <c r="AH150" s="161"/>
      <c r="AI150" s="161"/>
      <c r="AJ150" s="161"/>
      <c r="AK150" s="161"/>
    </row>
    <row r="151" spans="1:37" s="162" customFormat="1" ht="12" customHeight="1">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c r="AA151" s="161"/>
      <c r="AB151" s="161"/>
      <c r="AC151" s="161"/>
      <c r="AE151" s="161"/>
      <c r="AF151" s="161"/>
      <c r="AG151" s="161"/>
      <c r="AH151" s="161"/>
      <c r="AI151" s="161"/>
      <c r="AJ151" s="161"/>
      <c r="AK151" s="161"/>
    </row>
    <row r="152" spans="1:37" s="162" customFormat="1" ht="12" customHeight="1">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E152" s="161"/>
      <c r="AF152" s="161"/>
      <c r="AG152" s="161"/>
      <c r="AH152" s="161"/>
      <c r="AI152" s="161"/>
      <c r="AJ152" s="161"/>
      <c r="AK152" s="161"/>
    </row>
    <row r="153" spans="1:37" s="162" customFormat="1" ht="12" customHeight="1">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c r="AA153" s="161"/>
      <c r="AB153" s="161"/>
      <c r="AC153" s="161"/>
      <c r="AE153" s="161"/>
      <c r="AF153" s="161"/>
      <c r="AG153" s="161"/>
      <c r="AH153" s="161"/>
      <c r="AI153" s="161"/>
      <c r="AJ153" s="161"/>
      <c r="AK153" s="161"/>
    </row>
    <row r="154" spans="1:37" s="162" customFormat="1" ht="12" customHeight="1">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E154" s="161"/>
      <c r="AF154" s="161"/>
      <c r="AG154" s="161"/>
      <c r="AH154" s="161"/>
      <c r="AI154" s="161"/>
      <c r="AJ154" s="161"/>
      <c r="AK154" s="161"/>
    </row>
    <row r="155" spans="1:37" s="162" customFormat="1" ht="12" customHeight="1">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E155" s="161"/>
      <c r="AF155" s="161"/>
      <c r="AG155" s="161"/>
      <c r="AH155" s="161"/>
      <c r="AI155" s="161"/>
      <c r="AJ155" s="161"/>
      <c r="AK155" s="161"/>
    </row>
    <row r="156" spans="1:37" s="162" customFormat="1" ht="12" customHeight="1">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c r="AA156" s="161"/>
      <c r="AB156" s="161"/>
      <c r="AC156" s="161"/>
      <c r="AE156" s="161"/>
      <c r="AF156" s="161"/>
      <c r="AG156" s="161"/>
      <c r="AH156" s="161"/>
      <c r="AI156" s="161"/>
      <c r="AJ156" s="161"/>
      <c r="AK156" s="161"/>
    </row>
    <row r="157" spans="1:37" s="162" customFormat="1" ht="12" customHeight="1">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E157" s="161"/>
      <c r="AF157" s="161"/>
      <c r="AG157" s="161"/>
      <c r="AH157" s="161"/>
      <c r="AI157" s="161"/>
      <c r="AJ157" s="161"/>
      <c r="AK157" s="161"/>
    </row>
    <row r="158" spans="1:37" s="162" customFormat="1" ht="12" customHeight="1">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E158" s="161"/>
      <c r="AF158" s="161"/>
      <c r="AG158" s="161"/>
      <c r="AH158" s="161"/>
      <c r="AI158" s="161"/>
      <c r="AJ158" s="161"/>
      <c r="AK158" s="161"/>
    </row>
    <row r="159" spans="1:37" s="162" customFormat="1" ht="12" customHeight="1">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c r="AA159" s="161"/>
      <c r="AB159" s="161"/>
      <c r="AC159" s="161"/>
      <c r="AE159" s="161"/>
      <c r="AF159" s="161"/>
      <c r="AG159" s="161"/>
      <c r="AH159" s="161"/>
      <c r="AI159" s="161"/>
      <c r="AJ159" s="161"/>
      <c r="AK159" s="161"/>
    </row>
    <row r="160" spans="1:37" s="162" customFormat="1" ht="12" customHeight="1">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E160" s="161"/>
      <c r="AF160" s="161"/>
      <c r="AG160" s="161"/>
      <c r="AH160" s="161"/>
      <c r="AI160" s="161"/>
      <c r="AJ160" s="161"/>
      <c r="AK160" s="161"/>
    </row>
    <row r="161" spans="1:37" s="162" customFormat="1" ht="12" customHeight="1">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E161" s="161"/>
      <c r="AF161" s="161"/>
      <c r="AG161" s="161"/>
      <c r="AH161" s="161"/>
      <c r="AI161" s="161"/>
      <c r="AJ161" s="161"/>
      <c r="AK161" s="161"/>
    </row>
    <row r="162" spans="1:37" s="162" customFormat="1"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E162" s="161"/>
      <c r="AF162" s="161"/>
      <c r="AG162" s="161"/>
      <c r="AH162" s="161"/>
      <c r="AI162" s="161"/>
      <c r="AJ162" s="161"/>
      <c r="AK162" s="161"/>
    </row>
    <row r="163" spans="1:37" s="162" customFormat="1" ht="12" customHeight="1">
      <c r="B163" s="216"/>
      <c r="C163" s="216"/>
      <c r="D163" s="216"/>
      <c r="E163" s="216"/>
      <c r="AE163" s="161"/>
      <c r="AF163" s="161"/>
      <c r="AG163" s="161"/>
      <c r="AH163" s="161"/>
      <c r="AI163" s="161"/>
      <c r="AJ163" s="161"/>
      <c r="AK163" s="161"/>
    </row>
    <row r="164" spans="1:37" s="162" customFormat="1" ht="12" customHeight="1">
      <c r="B164" s="216"/>
      <c r="C164" s="216"/>
      <c r="D164" s="216"/>
      <c r="E164" s="216"/>
      <c r="AE164" s="161"/>
      <c r="AF164" s="161"/>
      <c r="AG164" s="161"/>
      <c r="AH164" s="161"/>
      <c r="AI164" s="161"/>
      <c r="AJ164" s="161"/>
      <c r="AK164" s="161"/>
    </row>
    <row r="165" spans="1:37" s="162" customFormat="1" ht="12" customHeight="1">
      <c r="B165" s="216"/>
      <c r="C165" s="216"/>
      <c r="D165" s="216"/>
      <c r="E165" s="216"/>
      <c r="AE165" s="161"/>
      <c r="AF165" s="161"/>
      <c r="AG165" s="161"/>
      <c r="AH165" s="161"/>
      <c r="AI165" s="161"/>
      <c r="AJ165" s="161"/>
      <c r="AK165" s="161"/>
    </row>
    <row r="166" spans="1:37" s="162" customFormat="1" ht="12" customHeight="1">
      <c r="B166" s="216"/>
      <c r="C166" s="216"/>
      <c r="D166" s="216"/>
      <c r="E166" s="216"/>
      <c r="AE166" s="161"/>
      <c r="AF166" s="161"/>
      <c r="AG166" s="161"/>
      <c r="AH166" s="161"/>
      <c r="AI166" s="161"/>
      <c r="AJ166" s="161"/>
      <c r="AK166" s="161"/>
    </row>
    <row r="167" spans="1:37" s="162" customFormat="1" ht="12" customHeight="1">
      <c r="B167" s="216"/>
      <c r="C167" s="216"/>
      <c r="D167" s="216"/>
      <c r="E167" s="216"/>
      <c r="AE167" s="161"/>
      <c r="AF167" s="161"/>
      <c r="AG167" s="161"/>
      <c r="AH167" s="161"/>
      <c r="AI167" s="161"/>
      <c r="AJ167" s="161"/>
      <c r="AK167" s="161"/>
    </row>
    <row r="168" spans="1:37" s="162" customFormat="1" ht="12" customHeight="1">
      <c r="B168" s="216"/>
      <c r="C168" s="216"/>
      <c r="D168" s="216"/>
      <c r="E168" s="216"/>
      <c r="AE168" s="161"/>
      <c r="AF168" s="161"/>
      <c r="AG168" s="161"/>
      <c r="AH168" s="161"/>
      <c r="AI168" s="161"/>
      <c r="AJ168" s="161"/>
      <c r="AK168" s="161"/>
    </row>
    <row r="169" spans="1:37" s="162" customFormat="1" ht="12" customHeight="1">
      <c r="B169" s="216"/>
      <c r="C169" s="216"/>
      <c r="D169" s="216"/>
      <c r="E169" s="216"/>
      <c r="AE169" s="161"/>
      <c r="AF169" s="161"/>
      <c r="AG169" s="161"/>
      <c r="AH169" s="161"/>
      <c r="AI169" s="161"/>
      <c r="AJ169" s="161"/>
      <c r="AK169" s="161"/>
    </row>
    <row r="170" spans="1:37" s="162" customFormat="1" ht="12" customHeight="1">
      <c r="B170" s="216"/>
      <c r="C170" s="216"/>
      <c r="D170" s="216"/>
      <c r="E170" s="216"/>
      <c r="AE170" s="161"/>
      <c r="AF170" s="161"/>
      <c r="AG170" s="161"/>
      <c r="AH170" s="161"/>
      <c r="AI170" s="161"/>
      <c r="AJ170" s="161"/>
      <c r="AK170" s="161"/>
    </row>
    <row r="171" spans="1:37" s="162" customFormat="1" ht="12" customHeight="1">
      <c r="B171" s="216"/>
      <c r="C171" s="216"/>
      <c r="D171" s="216"/>
      <c r="E171" s="216"/>
      <c r="AE171" s="161"/>
      <c r="AF171" s="161"/>
      <c r="AG171" s="161"/>
      <c r="AH171" s="161"/>
      <c r="AI171" s="161"/>
      <c r="AJ171" s="161"/>
      <c r="AK171" s="161"/>
    </row>
    <row r="172" spans="1:37" s="162" customFormat="1" ht="12" customHeight="1">
      <c r="B172" s="216"/>
      <c r="C172" s="216"/>
      <c r="D172" s="216"/>
      <c r="E172" s="216"/>
      <c r="AE172" s="161"/>
      <c r="AF172" s="161"/>
      <c r="AG172" s="161"/>
      <c r="AH172" s="161"/>
      <c r="AI172" s="161"/>
      <c r="AJ172" s="161"/>
      <c r="AK172" s="161"/>
    </row>
    <row r="173" spans="1:37" s="162" customFormat="1" ht="12" customHeight="1">
      <c r="B173" s="216"/>
      <c r="C173" s="216"/>
      <c r="D173" s="216"/>
      <c r="E173" s="216"/>
      <c r="AE173" s="161"/>
      <c r="AF173" s="161"/>
      <c r="AG173" s="161"/>
      <c r="AH173" s="161"/>
      <c r="AI173" s="161"/>
      <c r="AJ173" s="161"/>
      <c r="AK173" s="161"/>
    </row>
    <row r="174" spans="1:37" s="162" customFormat="1" ht="12" customHeight="1">
      <c r="B174" s="216"/>
      <c r="C174" s="216"/>
      <c r="D174" s="216"/>
      <c r="E174" s="216"/>
      <c r="AE174" s="161"/>
      <c r="AF174" s="161"/>
      <c r="AG174" s="161"/>
      <c r="AH174" s="161"/>
      <c r="AI174" s="161"/>
      <c r="AJ174" s="161"/>
      <c r="AK174" s="161"/>
    </row>
    <row r="175" spans="1:37" s="162" customFormat="1" ht="12" customHeight="1">
      <c r="B175" s="216"/>
      <c r="C175" s="216"/>
      <c r="D175" s="216"/>
      <c r="E175" s="216"/>
      <c r="AE175" s="161"/>
      <c r="AF175" s="161"/>
      <c r="AG175" s="161"/>
      <c r="AH175" s="161"/>
      <c r="AI175" s="161"/>
      <c r="AJ175" s="161"/>
      <c r="AK175" s="161"/>
    </row>
    <row r="176" spans="1:37" s="162" customFormat="1" ht="12" customHeight="1">
      <c r="B176" s="216"/>
      <c r="C176" s="216"/>
      <c r="D176" s="216"/>
      <c r="E176" s="216"/>
      <c r="AE176" s="161"/>
      <c r="AF176" s="161"/>
      <c r="AG176" s="161"/>
      <c r="AH176" s="161"/>
      <c r="AI176" s="161"/>
      <c r="AJ176" s="161"/>
      <c r="AK176" s="161"/>
    </row>
    <row r="177" spans="2:37" s="162" customFormat="1" ht="12" customHeight="1">
      <c r="B177" s="216"/>
      <c r="C177" s="216"/>
      <c r="D177" s="216"/>
      <c r="E177" s="216"/>
      <c r="AE177" s="161"/>
      <c r="AF177" s="161"/>
      <c r="AG177" s="161"/>
      <c r="AH177" s="161"/>
      <c r="AI177" s="161"/>
      <c r="AJ177" s="161"/>
      <c r="AK177" s="161"/>
    </row>
    <row r="178" spans="2:37" s="162" customFormat="1" ht="12" customHeight="1">
      <c r="B178" s="216"/>
      <c r="C178" s="216"/>
      <c r="D178" s="216"/>
      <c r="E178" s="216"/>
      <c r="AE178" s="161"/>
      <c r="AF178" s="161"/>
      <c r="AG178" s="161"/>
      <c r="AH178" s="161"/>
      <c r="AI178" s="161"/>
      <c r="AJ178" s="161"/>
      <c r="AK178" s="161"/>
    </row>
    <row r="179" spans="2:37" s="162" customFormat="1" ht="12" customHeight="1">
      <c r="B179" s="216"/>
      <c r="C179" s="216"/>
      <c r="D179" s="216"/>
      <c r="E179" s="216"/>
      <c r="AE179" s="161"/>
      <c r="AF179" s="161"/>
      <c r="AG179" s="161"/>
      <c r="AH179" s="161"/>
      <c r="AI179" s="161"/>
      <c r="AJ179" s="161"/>
      <c r="AK179" s="161"/>
    </row>
    <row r="180" spans="2:37" s="162" customFormat="1" ht="12" customHeight="1">
      <c r="B180" s="216"/>
      <c r="C180" s="216"/>
      <c r="D180" s="216"/>
      <c r="E180" s="216"/>
      <c r="AE180" s="161"/>
      <c r="AF180" s="161"/>
      <c r="AG180" s="161"/>
      <c r="AH180" s="161"/>
      <c r="AI180" s="161"/>
      <c r="AJ180" s="161"/>
      <c r="AK180" s="161"/>
    </row>
    <row r="181" spans="2:37" s="162" customFormat="1" ht="12" customHeight="1">
      <c r="B181" s="216"/>
      <c r="C181" s="216"/>
      <c r="D181" s="216"/>
      <c r="E181" s="216"/>
      <c r="AE181" s="161"/>
      <c r="AF181" s="161"/>
      <c r="AG181" s="161"/>
      <c r="AH181" s="161"/>
      <c r="AI181" s="161"/>
      <c r="AJ181" s="161"/>
      <c r="AK181" s="161"/>
    </row>
    <row r="182" spans="2:37" s="162" customFormat="1" ht="12" customHeight="1">
      <c r="B182" s="216"/>
      <c r="C182" s="216"/>
      <c r="D182" s="216"/>
      <c r="E182" s="216"/>
      <c r="AE182" s="161"/>
      <c r="AF182" s="161"/>
      <c r="AG182" s="161"/>
      <c r="AH182" s="161"/>
      <c r="AI182" s="161"/>
      <c r="AJ182" s="161"/>
      <c r="AK182" s="161"/>
    </row>
    <row r="183" spans="2:37" s="162" customFormat="1" ht="12" customHeight="1">
      <c r="B183" s="216"/>
      <c r="C183" s="216"/>
      <c r="D183" s="216"/>
      <c r="E183" s="216"/>
      <c r="AE183" s="161"/>
      <c r="AF183" s="161"/>
      <c r="AG183" s="161"/>
      <c r="AH183" s="161"/>
      <c r="AI183" s="161"/>
      <c r="AJ183" s="161"/>
      <c r="AK183" s="161"/>
    </row>
    <row r="184" spans="2:37" s="162" customFormat="1" ht="12" customHeight="1">
      <c r="B184" s="216"/>
      <c r="C184" s="216"/>
      <c r="D184" s="216"/>
      <c r="E184" s="216"/>
      <c r="AE184" s="161"/>
      <c r="AF184" s="161"/>
      <c r="AG184" s="161"/>
      <c r="AH184" s="161"/>
      <c r="AI184" s="161"/>
      <c r="AJ184" s="161"/>
      <c r="AK184" s="161"/>
    </row>
    <row r="185" spans="2:37" s="162" customFormat="1" ht="12" customHeight="1">
      <c r="B185" s="216"/>
      <c r="C185" s="216"/>
      <c r="D185" s="216"/>
      <c r="E185" s="216"/>
      <c r="AE185" s="161"/>
      <c r="AF185" s="161"/>
      <c r="AG185" s="161"/>
      <c r="AH185" s="161"/>
      <c r="AI185" s="161"/>
      <c r="AJ185" s="161"/>
      <c r="AK185" s="161"/>
    </row>
    <row r="186" spans="2:37" s="162" customFormat="1" ht="12" customHeight="1">
      <c r="B186" s="216"/>
      <c r="C186" s="216"/>
      <c r="D186" s="216"/>
      <c r="E186" s="216"/>
      <c r="AE186" s="161"/>
      <c r="AF186" s="161"/>
      <c r="AG186" s="161"/>
      <c r="AH186" s="161"/>
      <c r="AI186" s="161"/>
      <c r="AJ186" s="161"/>
      <c r="AK186" s="161"/>
    </row>
    <row r="187" spans="2:37" s="162" customFormat="1" ht="12" customHeight="1">
      <c r="B187" s="216"/>
      <c r="C187" s="216"/>
      <c r="D187" s="216"/>
      <c r="E187" s="216"/>
      <c r="AE187" s="161"/>
      <c r="AF187" s="161"/>
      <c r="AG187" s="161"/>
      <c r="AH187" s="161"/>
      <c r="AI187" s="161"/>
      <c r="AJ187" s="161"/>
      <c r="AK187" s="161"/>
    </row>
    <row r="188" spans="2:37" s="162" customFormat="1" ht="12" customHeight="1">
      <c r="B188" s="216"/>
      <c r="C188" s="216"/>
      <c r="D188" s="216"/>
      <c r="E188" s="216"/>
      <c r="AE188" s="161"/>
      <c r="AF188" s="161"/>
      <c r="AG188" s="161"/>
      <c r="AH188" s="161"/>
      <c r="AI188" s="161"/>
      <c r="AJ188" s="161"/>
      <c r="AK188" s="161"/>
    </row>
    <row r="189" spans="2:37" s="162" customFormat="1" ht="12" customHeight="1">
      <c r="B189" s="216"/>
      <c r="C189" s="216"/>
      <c r="D189" s="216"/>
      <c r="E189" s="216"/>
      <c r="AE189" s="161"/>
      <c r="AF189" s="161"/>
      <c r="AG189" s="161"/>
      <c r="AH189" s="161"/>
      <c r="AI189" s="161"/>
      <c r="AJ189" s="161"/>
      <c r="AK189" s="161"/>
    </row>
    <row r="190" spans="2:37" s="162" customFormat="1" ht="12" customHeight="1">
      <c r="B190" s="216"/>
      <c r="C190" s="216"/>
      <c r="D190" s="216"/>
      <c r="E190" s="216"/>
      <c r="AE190" s="161"/>
      <c r="AF190" s="161"/>
      <c r="AG190" s="161"/>
      <c r="AH190" s="161"/>
      <c r="AI190" s="161"/>
      <c r="AJ190" s="161"/>
      <c r="AK190" s="161"/>
    </row>
    <row r="191" spans="2:37" s="162" customFormat="1" ht="12" customHeight="1">
      <c r="B191" s="216"/>
      <c r="C191" s="216"/>
      <c r="D191" s="216"/>
      <c r="E191" s="216"/>
      <c r="AE191" s="161"/>
      <c r="AF191" s="161"/>
      <c r="AG191" s="161"/>
      <c r="AH191" s="161"/>
      <c r="AI191" s="161"/>
      <c r="AJ191" s="161"/>
      <c r="AK191" s="161"/>
    </row>
    <row r="192" spans="2:37" s="162" customFormat="1" ht="12" customHeight="1">
      <c r="B192" s="216"/>
      <c r="C192" s="216"/>
      <c r="D192" s="216"/>
      <c r="E192" s="216"/>
      <c r="AE192" s="161"/>
      <c r="AF192" s="161"/>
      <c r="AG192" s="161"/>
      <c r="AH192" s="161"/>
      <c r="AI192" s="161"/>
      <c r="AJ192" s="161"/>
      <c r="AK192" s="161"/>
    </row>
    <row r="193" spans="2:37" s="162" customFormat="1" ht="12" customHeight="1">
      <c r="B193" s="216"/>
      <c r="C193" s="216"/>
      <c r="D193" s="216"/>
      <c r="E193" s="216"/>
      <c r="AE193" s="161"/>
      <c r="AF193" s="161"/>
      <c r="AG193" s="161"/>
      <c r="AH193" s="161"/>
      <c r="AI193" s="161"/>
      <c r="AJ193" s="161"/>
      <c r="AK193" s="161"/>
    </row>
    <row r="194" spans="2:37" s="162" customFormat="1" ht="12" customHeight="1">
      <c r="B194" s="216"/>
      <c r="C194" s="216"/>
      <c r="D194" s="216"/>
      <c r="E194" s="216"/>
      <c r="AE194" s="161"/>
      <c r="AF194" s="161"/>
      <c r="AG194" s="161"/>
      <c r="AH194" s="161"/>
      <c r="AI194" s="161"/>
      <c r="AJ194" s="161"/>
      <c r="AK194" s="161"/>
    </row>
    <row r="195" spans="2:37" s="162" customFormat="1" ht="12" customHeight="1">
      <c r="B195" s="216"/>
      <c r="C195" s="216"/>
      <c r="D195" s="216"/>
      <c r="E195" s="216"/>
      <c r="AE195" s="161"/>
      <c r="AF195" s="161"/>
      <c r="AG195" s="161"/>
      <c r="AH195" s="161"/>
      <c r="AI195" s="161"/>
      <c r="AJ195" s="161"/>
      <c r="AK195" s="161"/>
    </row>
    <row r="196" spans="2:37" s="162" customFormat="1" ht="12" customHeight="1">
      <c r="B196" s="216"/>
      <c r="C196" s="216"/>
      <c r="D196" s="216"/>
      <c r="E196" s="216"/>
      <c r="AE196" s="161"/>
      <c r="AF196" s="161"/>
      <c r="AG196" s="161"/>
      <c r="AH196" s="161"/>
      <c r="AI196" s="161"/>
      <c r="AJ196" s="161"/>
      <c r="AK196" s="161"/>
    </row>
    <row r="197" spans="2:37" s="162" customFormat="1" ht="12" customHeight="1">
      <c r="B197" s="216"/>
      <c r="C197" s="216"/>
      <c r="D197" s="216"/>
      <c r="E197" s="216"/>
      <c r="AE197" s="161"/>
      <c r="AF197" s="161"/>
      <c r="AG197" s="161"/>
      <c r="AH197" s="161"/>
      <c r="AI197" s="161"/>
      <c r="AJ197" s="161"/>
      <c r="AK197" s="161"/>
    </row>
    <row r="198" spans="2:37" s="162" customFormat="1" ht="12" customHeight="1">
      <c r="B198" s="216"/>
      <c r="C198" s="216"/>
      <c r="D198" s="216"/>
      <c r="E198" s="216"/>
      <c r="AE198" s="161"/>
      <c r="AF198" s="161"/>
      <c r="AG198" s="161"/>
      <c r="AH198" s="161"/>
      <c r="AI198" s="161"/>
      <c r="AJ198" s="161"/>
      <c r="AK198" s="161"/>
    </row>
    <row r="199" spans="2:37" s="162" customFormat="1" ht="12" customHeight="1">
      <c r="B199" s="216"/>
      <c r="C199" s="216"/>
      <c r="D199" s="216"/>
      <c r="E199" s="216"/>
      <c r="AE199" s="161"/>
      <c r="AF199" s="161"/>
      <c r="AG199" s="161"/>
      <c r="AH199" s="161"/>
      <c r="AI199" s="161"/>
      <c r="AJ199" s="161"/>
      <c r="AK199" s="161"/>
    </row>
    <row r="200" spans="2:37" s="162" customFormat="1" ht="12" customHeight="1">
      <c r="B200" s="216"/>
      <c r="C200" s="216"/>
      <c r="D200" s="216"/>
      <c r="E200" s="216"/>
      <c r="AE200" s="161"/>
      <c r="AF200" s="161"/>
      <c r="AG200" s="161"/>
      <c r="AH200" s="161"/>
      <c r="AI200" s="161"/>
      <c r="AJ200" s="161"/>
      <c r="AK200" s="161"/>
    </row>
    <row r="201" spans="2:37" s="162" customFormat="1" ht="12" customHeight="1">
      <c r="B201" s="216"/>
      <c r="C201" s="216"/>
      <c r="D201" s="216"/>
      <c r="E201" s="216"/>
      <c r="AE201" s="161"/>
      <c r="AF201" s="161"/>
      <c r="AG201" s="161"/>
      <c r="AH201" s="161"/>
      <c r="AI201" s="161"/>
      <c r="AJ201" s="161"/>
      <c r="AK201" s="161"/>
    </row>
    <row r="202" spans="2:37" s="162" customFormat="1" ht="12" customHeight="1">
      <c r="B202" s="216"/>
      <c r="C202" s="216"/>
      <c r="D202" s="216"/>
      <c r="E202" s="216"/>
      <c r="AE202" s="161"/>
      <c r="AF202" s="161"/>
      <c r="AG202" s="161"/>
      <c r="AH202" s="161"/>
      <c r="AI202" s="161"/>
      <c r="AJ202" s="161"/>
      <c r="AK202" s="161"/>
    </row>
    <row r="203" spans="2:37" s="162" customFormat="1" ht="12" customHeight="1">
      <c r="B203" s="216"/>
      <c r="C203" s="216"/>
      <c r="D203" s="216"/>
      <c r="E203" s="216"/>
      <c r="AE203" s="161"/>
      <c r="AF203" s="161"/>
      <c r="AG203" s="161"/>
      <c r="AH203" s="161"/>
      <c r="AI203" s="161"/>
      <c r="AJ203" s="161"/>
      <c r="AK203" s="161"/>
    </row>
    <row r="204" spans="2:37" s="162" customFormat="1" ht="12" customHeight="1">
      <c r="B204" s="216"/>
      <c r="C204" s="216"/>
      <c r="D204" s="216"/>
      <c r="E204" s="216"/>
      <c r="AE204" s="161"/>
      <c r="AF204" s="161"/>
      <c r="AG204" s="161"/>
      <c r="AH204" s="161"/>
      <c r="AI204" s="161"/>
      <c r="AJ204" s="161"/>
      <c r="AK204" s="161"/>
    </row>
    <row r="205" spans="2:37" s="162" customFormat="1" ht="12" customHeight="1">
      <c r="B205" s="216"/>
      <c r="C205" s="216"/>
      <c r="D205" s="216"/>
      <c r="E205" s="216"/>
      <c r="AE205" s="161"/>
      <c r="AF205" s="161"/>
      <c r="AG205" s="161"/>
      <c r="AH205" s="161"/>
      <c r="AI205" s="161"/>
      <c r="AJ205" s="161"/>
      <c r="AK205" s="161"/>
    </row>
    <row r="206" spans="2:37" s="162" customFormat="1" ht="12" customHeight="1">
      <c r="B206" s="216"/>
      <c r="C206" s="216"/>
      <c r="D206" s="216"/>
      <c r="E206" s="216"/>
      <c r="AE206" s="161"/>
      <c r="AF206" s="161"/>
      <c r="AG206" s="161"/>
      <c r="AH206" s="161"/>
      <c r="AI206" s="161"/>
      <c r="AJ206" s="161"/>
      <c r="AK206" s="161"/>
    </row>
    <row r="207" spans="2:37" s="162" customFormat="1" ht="12" customHeight="1">
      <c r="B207" s="216"/>
      <c r="C207" s="216"/>
      <c r="D207" s="216"/>
      <c r="E207" s="216"/>
      <c r="AE207" s="161"/>
      <c r="AF207" s="161"/>
      <c r="AG207" s="161"/>
      <c r="AH207" s="161"/>
      <c r="AI207" s="161"/>
      <c r="AJ207" s="161"/>
      <c r="AK207" s="161"/>
    </row>
    <row r="208" spans="2:37" s="162" customFormat="1" ht="12" customHeight="1">
      <c r="B208" s="216"/>
      <c r="C208" s="216"/>
      <c r="D208" s="216"/>
      <c r="E208" s="216"/>
      <c r="AE208" s="161"/>
      <c r="AF208" s="161"/>
      <c r="AG208" s="161"/>
      <c r="AH208" s="161"/>
      <c r="AI208" s="161"/>
      <c r="AJ208" s="161"/>
      <c r="AK208" s="161"/>
    </row>
    <row r="209" spans="2:37" s="162" customFormat="1" ht="12" customHeight="1">
      <c r="B209" s="216"/>
      <c r="C209" s="216"/>
      <c r="D209" s="216"/>
      <c r="E209" s="216"/>
      <c r="AE209" s="161"/>
      <c r="AF209" s="161"/>
      <c r="AG209" s="161"/>
      <c r="AH209" s="161"/>
      <c r="AI209" s="161"/>
      <c r="AJ209" s="161"/>
      <c r="AK209" s="161"/>
    </row>
    <row r="210" spans="2:37" s="162" customFormat="1" ht="12" customHeight="1">
      <c r="B210" s="216"/>
      <c r="C210" s="216"/>
      <c r="D210" s="216"/>
      <c r="E210" s="216"/>
      <c r="AE210" s="161"/>
      <c r="AF210" s="161"/>
      <c r="AG210" s="161"/>
      <c r="AH210" s="161"/>
      <c r="AI210" s="161"/>
      <c r="AJ210" s="161"/>
      <c r="AK210" s="161"/>
    </row>
    <row r="211" spans="2:37" s="162" customFormat="1" ht="12" customHeight="1">
      <c r="B211" s="216"/>
      <c r="C211" s="216"/>
      <c r="D211" s="216"/>
      <c r="E211" s="216"/>
      <c r="AE211" s="161"/>
      <c r="AF211" s="161"/>
      <c r="AG211" s="161"/>
      <c r="AH211" s="161"/>
      <c r="AI211" s="161"/>
      <c r="AJ211" s="161"/>
      <c r="AK211" s="161"/>
    </row>
    <row r="212" spans="2:37" s="162" customFormat="1" ht="12" customHeight="1">
      <c r="B212" s="216"/>
      <c r="C212" s="216"/>
      <c r="D212" s="216"/>
      <c r="E212" s="216"/>
      <c r="AE212" s="161"/>
      <c r="AF212" s="161"/>
      <c r="AG212" s="161"/>
      <c r="AH212" s="161"/>
      <c r="AI212" s="161"/>
      <c r="AJ212" s="161"/>
      <c r="AK212" s="161"/>
    </row>
    <row r="213" spans="2:37" s="162" customFormat="1" ht="12" customHeight="1">
      <c r="B213" s="216"/>
      <c r="C213" s="216"/>
      <c r="D213" s="216"/>
      <c r="E213" s="216"/>
      <c r="AE213" s="161"/>
      <c r="AF213" s="161"/>
      <c r="AG213" s="161"/>
      <c r="AH213" s="161"/>
      <c r="AI213" s="161"/>
      <c r="AJ213" s="161"/>
      <c r="AK213" s="161"/>
    </row>
    <row r="214" spans="2:37" s="162" customFormat="1" ht="12" customHeight="1">
      <c r="B214" s="216"/>
      <c r="C214" s="216"/>
      <c r="D214" s="216"/>
      <c r="E214" s="216"/>
      <c r="AE214" s="161"/>
      <c r="AF214" s="161"/>
      <c r="AG214" s="161"/>
      <c r="AH214" s="161"/>
      <c r="AI214" s="161"/>
      <c r="AJ214" s="161"/>
      <c r="AK214" s="161"/>
    </row>
    <row r="215" spans="2:37" s="162" customFormat="1" ht="12" customHeight="1">
      <c r="B215" s="216"/>
      <c r="C215" s="216"/>
      <c r="D215" s="216"/>
      <c r="E215" s="216"/>
      <c r="AE215" s="161"/>
      <c r="AF215" s="161"/>
      <c r="AG215" s="161"/>
      <c r="AH215" s="161"/>
      <c r="AI215" s="161"/>
      <c r="AJ215" s="161"/>
      <c r="AK215" s="161"/>
    </row>
    <row r="216" spans="2:37" s="162" customFormat="1" ht="12" customHeight="1">
      <c r="B216" s="216"/>
      <c r="C216" s="216"/>
      <c r="D216" s="216"/>
      <c r="E216" s="216"/>
      <c r="AE216" s="161"/>
      <c r="AF216" s="161"/>
      <c r="AG216" s="161"/>
      <c r="AH216" s="161"/>
      <c r="AI216" s="161"/>
      <c r="AJ216" s="161"/>
      <c r="AK216" s="161"/>
    </row>
    <row r="217" spans="2:37" s="162" customFormat="1" ht="12" customHeight="1">
      <c r="B217" s="216"/>
      <c r="C217" s="216"/>
      <c r="D217" s="216"/>
      <c r="E217" s="216"/>
      <c r="AE217" s="161"/>
      <c r="AF217" s="161"/>
      <c r="AG217" s="161"/>
      <c r="AH217" s="161"/>
      <c r="AI217" s="161"/>
      <c r="AJ217" s="161"/>
      <c r="AK217" s="161"/>
    </row>
    <row r="218" spans="2:37" s="162" customFormat="1" ht="12" customHeight="1">
      <c r="B218" s="216"/>
      <c r="C218" s="216"/>
      <c r="D218" s="216"/>
      <c r="E218" s="216"/>
      <c r="AE218" s="161"/>
      <c r="AF218" s="161"/>
      <c r="AG218" s="161"/>
      <c r="AH218" s="161"/>
      <c r="AI218" s="161"/>
      <c r="AJ218" s="161"/>
      <c r="AK218" s="161"/>
    </row>
    <row r="219" spans="2:37" s="162" customFormat="1" ht="12" customHeight="1">
      <c r="B219" s="216"/>
      <c r="C219" s="216"/>
      <c r="D219" s="216"/>
      <c r="E219" s="216"/>
      <c r="AE219" s="161"/>
      <c r="AF219" s="161"/>
      <c r="AG219" s="161"/>
      <c r="AH219" s="161"/>
      <c r="AI219" s="161"/>
      <c r="AJ219" s="161"/>
      <c r="AK219" s="161"/>
    </row>
    <row r="220" spans="2:37" s="162" customFormat="1" ht="12" customHeight="1">
      <c r="B220" s="216"/>
      <c r="C220" s="216"/>
      <c r="D220" s="216"/>
      <c r="E220" s="216"/>
      <c r="AE220" s="161"/>
      <c r="AF220" s="161"/>
      <c r="AG220" s="161"/>
      <c r="AH220" s="161"/>
      <c r="AI220" s="161"/>
      <c r="AJ220" s="161"/>
      <c r="AK220" s="161"/>
    </row>
    <row r="221" spans="2:37" s="162" customFormat="1" ht="12" customHeight="1">
      <c r="B221" s="216"/>
      <c r="C221" s="216"/>
      <c r="D221" s="216"/>
      <c r="E221" s="216"/>
      <c r="AE221" s="161"/>
      <c r="AF221" s="161"/>
      <c r="AG221" s="161"/>
      <c r="AH221" s="161"/>
      <c r="AI221" s="161"/>
      <c r="AJ221" s="161"/>
      <c r="AK221" s="161"/>
    </row>
    <row r="222" spans="2:37" s="162" customFormat="1" ht="12" customHeight="1">
      <c r="B222" s="216"/>
      <c r="C222" s="216"/>
      <c r="D222" s="216"/>
      <c r="E222" s="216"/>
      <c r="AE222" s="161"/>
      <c r="AF222" s="161"/>
      <c r="AG222" s="161"/>
      <c r="AH222" s="161"/>
      <c r="AI222" s="161"/>
      <c r="AJ222" s="161"/>
      <c r="AK222" s="161"/>
    </row>
    <row r="223" spans="2:37" s="162" customFormat="1" ht="12" customHeight="1">
      <c r="B223" s="216"/>
      <c r="C223" s="216"/>
      <c r="D223" s="216"/>
      <c r="E223" s="216"/>
      <c r="AE223" s="161"/>
      <c r="AF223" s="161"/>
      <c r="AG223" s="161"/>
      <c r="AH223" s="161"/>
      <c r="AI223" s="161"/>
      <c r="AJ223" s="161"/>
      <c r="AK223" s="161"/>
    </row>
    <row r="224" spans="2:37" s="162" customFormat="1" ht="12" customHeight="1">
      <c r="B224" s="216"/>
      <c r="C224" s="216"/>
      <c r="D224" s="216"/>
      <c r="E224" s="216"/>
      <c r="AE224" s="161"/>
      <c r="AF224" s="161"/>
      <c r="AG224" s="161"/>
      <c r="AH224" s="161"/>
      <c r="AI224" s="161"/>
      <c r="AJ224" s="161"/>
      <c r="AK224" s="161"/>
    </row>
    <row r="225" spans="2:37" s="162" customFormat="1" ht="12" customHeight="1">
      <c r="B225" s="216"/>
      <c r="C225" s="216"/>
      <c r="D225" s="216"/>
      <c r="E225" s="216"/>
      <c r="AE225" s="161"/>
      <c r="AF225" s="161"/>
      <c r="AG225" s="161"/>
      <c r="AH225" s="161"/>
      <c r="AI225" s="161"/>
      <c r="AJ225" s="161"/>
      <c r="AK225" s="161"/>
    </row>
    <row r="226" spans="2:37" s="162" customFormat="1" ht="12" customHeight="1">
      <c r="B226" s="216"/>
      <c r="C226" s="216"/>
      <c r="D226" s="216"/>
      <c r="E226" s="216"/>
      <c r="AE226" s="161"/>
      <c r="AF226" s="161"/>
      <c r="AG226" s="161"/>
      <c r="AH226" s="161"/>
      <c r="AI226" s="161"/>
      <c r="AJ226" s="161"/>
      <c r="AK226" s="161"/>
    </row>
    <row r="227" spans="2:37" s="162" customFormat="1" ht="12" customHeight="1">
      <c r="B227" s="216"/>
      <c r="C227" s="216"/>
      <c r="D227" s="216"/>
      <c r="E227" s="216"/>
      <c r="AE227" s="161"/>
      <c r="AF227" s="161"/>
      <c r="AG227" s="161"/>
      <c r="AH227" s="161"/>
      <c r="AI227" s="161"/>
      <c r="AJ227" s="161"/>
      <c r="AK227" s="161"/>
    </row>
    <row r="228" spans="2:37" s="162" customFormat="1" ht="12" customHeight="1">
      <c r="B228" s="216"/>
      <c r="C228" s="216"/>
      <c r="D228" s="216"/>
      <c r="E228" s="216"/>
      <c r="AE228" s="161"/>
      <c r="AF228" s="161"/>
      <c r="AG228" s="161"/>
      <c r="AH228" s="161"/>
      <c r="AI228" s="161"/>
      <c r="AJ228" s="161"/>
      <c r="AK228" s="161"/>
    </row>
    <row r="229" spans="2:37" s="162" customFormat="1" ht="12" customHeight="1">
      <c r="B229" s="216"/>
      <c r="C229" s="216"/>
      <c r="D229" s="216"/>
      <c r="E229" s="216"/>
      <c r="AE229" s="161"/>
      <c r="AF229" s="161"/>
      <c r="AG229" s="161"/>
      <c r="AH229" s="161"/>
      <c r="AI229" s="161"/>
      <c r="AJ229" s="161"/>
      <c r="AK229" s="161"/>
    </row>
    <row r="230" spans="2:37" s="162" customFormat="1" ht="12" customHeight="1">
      <c r="B230" s="216"/>
      <c r="C230" s="216"/>
      <c r="D230" s="216"/>
      <c r="E230" s="216"/>
      <c r="AE230" s="161"/>
      <c r="AF230" s="161"/>
      <c r="AG230" s="161"/>
      <c r="AH230" s="161"/>
      <c r="AI230" s="161"/>
      <c r="AJ230" s="161"/>
      <c r="AK230" s="161"/>
    </row>
    <row r="231" spans="2:37" s="162" customFormat="1" ht="12" customHeight="1">
      <c r="B231" s="216"/>
      <c r="C231" s="216"/>
      <c r="D231" s="216"/>
      <c r="E231" s="216"/>
      <c r="AE231" s="161"/>
      <c r="AF231" s="161"/>
      <c r="AG231" s="161"/>
      <c r="AH231" s="161"/>
      <c r="AI231" s="161"/>
      <c r="AJ231" s="161"/>
      <c r="AK231" s="161"/>
    </row>
    <row r="232" spans="2:37" s="162" customFormat="1" ht="12" customHeight="1">
      <c r="B232" s="216"/>
      <c r="C232" s="216"/>
      <c r="D232" s="216"/>
      <c r="E232" s="216"/>
      <c r="AE232" s="161"/>
      <c r="AF232" s="161"/>
      <c r="AG232" s="161"/>
      <c r="AH232" s="161"/>
      <c r="AI232" s="161"/>
      <c r="AJ232" s="161"/>
      <c r="AK232" s="161"/>
    </row>
    <row r="233" spans="2:37" s="162" customFormat="1" ht="12" customHeight="1">
      <c r="B233" s="216"/>
      <c r="C233" s="216"/>
      <c r="D233" s="216"/>
      <c r="E233" s="216"/>
      <c r="AE233" s="161"/>
      <c r="AF233" s="161"/>
      <c r="AG233" s="161"/>
      <c r="AH233" s="161"/>
      <c r="AI233" s="161"/>
      <c r="AJ233" s="161"/>
      <c r="AK233" s="161"/>
    </row>
    <row r="234" spans="2:37" s="162" customFormat="1" ht="12" customHeight="1">
      <c r="B234" s="216"/>
      <c r="C234" s="216"/>
      <c r="D234" s="216"/>
      <c r="E234" s="216"/>
      <c r="AE234" s="161"/>
      <c r="AF234" s="161"/>
      <c r="AG234" s="161"/>
      <c r="AH234" s="161"/>
      <c r="AI234" s="161"/>
      <c r="AJ234" s="161"/>
      <c r="AK234" s="161"/>
    </row>
    <row r="235" spans="2:37" s="162" customFormat="1" ht="12" customHeight="1">
      <c r="B235" s="216"/>
      <c r="C235" s="216"/>
      <c r="D235" s="216"/>
      <c r="E235" s="216"/>
      <c r="AE235" s="161"/>
      <c r="AF235" s="161"/>
      <c r="AG235" s="161"/>
      <c r="AH235" s="161"/>
      <c r="AI235" s="161"/>
      <c r="AJ235" s="161"/>
      <c r="AK235" s="161"/>
    </row>
    <row r="236" spans="2:37" s="162" customFormat="1" ht="12" customHeight="1">
      <c r="B236" s="216"/>
      <c r="C236" s="216"/>
      <c r="D236" s="216"/>
      <c r="E236" s="216"/>
      <c r="AE236" s="161"/>
      <c r="AF236" s="161"/>
      <c r="AG236" s="161"/>
      <c r="AH236" s="161"/>
      <c r="AI236" s="161"/>
      <c r="AJ236" s="161"/>
      <c r="AK236" s="161"/>
    </row>
    <row r="237" spans="2:37" s="162" customFormat="1" ht="12" customHeight="1">
      <c r="B237" s="216"/>
      <c r="C237" s="216"/>
      <c r="D237" s="216"/>
      <c r="E237" s="216"/>
      <c r="AE237" s="161"/>
      <c r="AF237" s="161"/>
      <c r="AG237" s="161"/>
      <c r="AH237" s="161"/>
      <c r="AI237" s="161"/>
      <c r="AJ237" s="161"/>
      <c r="AK237" s="161"/>
    </row>
    <row r="238" spans="2:37" s="162" customFormat="1" ht="12" customHeight="1">
      <c r="B238" s="216"/>
      <c r="C238" s="216"/>
      <c r="D238" s="216"/>
      <c r="E238" s="216"/>
      <c r="AE238" s="161"/>
      <c r="AF238" s="161"/>
      <c r="AG238" s="161"/>
      <c r="AH238" s="161"/>
      <c r="AI238" s="161"/>
      <c r="AJ238" s="161"/>
      <c r="AK238" s="161"/>
    </row>
    <row r="239" spans="2:37" s="162" customFormat="1" ht="12" customHeight="1">
      <c r="B239" s="216"/>
      <c r="C239" s="216"/>
      <c r="D239" s="216"/>
      <c r="E239" s="216"/>
      <c r="AE239" s="161"/>
      <c r="AF239" s="161"/>
      <c r="AG239" s="161"/>
      <c r="AH239" s="161"/>
      <c r="AI239" s="161"/>
      <c r="AJ239" s="161"/>
      <c r="AK239" s="161"/>
    </row>
    <row r="240" spans="2:37" s="162" customFormat="1" ht="12" customHeight="1">
      <c r="B240" s="216"/>
      <c r="C240" s="216"/>
      <c r="D240" s="216"/>
      <c r="E240" s="216"/>
      <c r="AE240" s="161"/>
      <c r="AF240" s="161"/>
      <c r="AG240" s="161"/>
      <c r="AH240" s="161"/>
      <c r="AI240" s="161"/>
      <c r="AJ240" s="161"/>
      <c r="AK240" s="161"/>
    </row>
    <row r="241" spans="2:37" s="162" customFormat="1" ht="12" customHeight="1">
      <c r="B241" s="216"/>
      <c r="C241" s="216"/>
      <c r="D241" s="216"/>
      <c r="E241" s="216"/>
      <c r="AE241" s="161"/>
      <c r="AF241" s="161"/>
      <c r="AG241" s="161"/>
      <c r="AH241" s="161"/>
      <c r="AI241" s="161"/>
      <c r="AJ241" s="161"/>
      <c r="AK241" s="161"/>
    </row>
    <row r="242" spans="2:37" s="162" customFormat="1" ht="12" customHeight="1">
      <c r="B242" s="216"/>
      <c r="C242" s="216"/>
      <c r="D242" s="216"/>
      <c r="E242" s="216"/>
      <c r="AE242" s="161"/>
      <c r="AF242" s="161"/>
      <c r="AG242" s="161"/>
      <c r="AH242" s="161"/>
      <c r="AI242" s="161"/>
      <c r="AJ242" s="161"/>
      <c r="AK242" s="161"/>
    </row>
    <row r="243" spans="2:37" s="162" customFormat="1" ht="12" customHeight="1">
      <c r="B243" s="216"/>
      <c r="C243" s="216"/>
      <c r="D243" s="216"/>
      <c r="E243" s="216"/>
      <c r="AE243" s="161"/>
      <c r="AF243" s="161"/>
      <c r="AG243" s="161"/>
      <c r="AH243" s="161"/>
      <c r="AI243" s="161"/>
      <c r="AJ243" s="161"/>
      <c r="AK243" s="161"/>
    </row>
    <row r="244" spans="2:37" s="162" customFormat="1" ht="12" customHeight="1">
      <c r="B244" s="216"/>
      <c r="C244" s="216"/>
      <c r="D244" s="216"/>
      <c r="E244" s="216"/>
      <c r="AE244" s="161"/>
      <c r="AF244" s="161"/>
      <c r="AG244" s="161"/>
      <c r="AH244" s="161"/>
      <c r="AI244" s="161"/>
      <c r="AJ244" s="161"/>
      <c r="AK244" s="161"/>
    </row>
    <row r="245" spans="2:37" s="162" customFormat="1" ht="12" customHeight="1">
      <c r="B245" s="216"/>
      <c r="C245" s="216"/>
      <c r="D245" s="216"/>
      <c r="E245" s="216"/>
      <c r="AE245" s="161"/>
      <c r="AF245" s="161"/>
      <c r="AG245" s="161"/>
      <c r="AH245" s="161"/>
      <c r="AI245" s="161"/>
      <c r="AJ245" s="161"/>
      <c r="AK245" s="161"/>
    </row>
    <row r="246" spans="2:37" s="162" customFormat="1" ht="12" customHeight="1">
      <c r="B246" s="216"/>
      <c r="C246" s="216"/>
      <c r="D246" s="216"/>
      <c r="E246" s="216"/>
      <c r="AE246" s="161"/>
      <c r="AF246" s="161"/>
      <c r="AG246" s="161"/>
      <c r="AH246" s="161"/>
      <c r="AI246" s="161"/>
      <c r="AJ246" s="161"/>
      <c r="AK246" s="161"/>
    </row>
    <row r="247" spans="2:37" s="162" customFormat="1" ht="12" customHeight="1">
      <c r="B247" s="216"/>
      <c r="C247" s="216"/>
      <c r="D247" s="216"/>
      <c r="E247" s="216"/>
      <c r="AE247" s="161"/>
      <c r="AF247" s="161"/>
      <c r="AG247" s="161"/>
      <c r="AH247" s="161"/>
      <c r="AI247" s="161"/>
      <c r="AJ247" s="161"/>
      <c r="AK247" s="161"/>
    </row>
    <row r="248" spans="2:37" s="162" customFormat="1" ht="12" customHeight="1">
      <c r="B248" s="216"/>
      <c r="C248" s="216"/>
      <c r="D248" s="216"/>
      <c r="E248" s="216"/>
      <c r="AE248" s="161"/>
      <c r="AF248" s="161"/>
      <c r="AG248" s="161"/>
      <c r="AH248" s="161"/>
      <c r="AI248" s="161"/>
      <c r="AJ248" s="161"/>
      <c r="AK248" s="161"/>
    </row>
    <row r="249" spans="2:37" s="162" customFormat="1" ht="12" customHeight="1">
      <c r="B249" s="216"/>
      <c r="C249" s="216"/>
      <c r="D249" s="216"/>
      <c r="E249" s="216"/>
      <c r="AE249" s="161"/>
      <c r="AF249" s="161"/>
      <c r="AG249" s="161"/>
      <c r="AH249" s="161"/>
      <c r="AI249" s="161"/>
      <c r="AJ249" s="161"/>
      <c r="AK249" s="161"/>
    </row>
    <row r="250" spans="2:37" s="162" customFormat="1" ht="12" customHeight="1">
      <c r="B250" s="216"/>
      <c r="C250" s="216"/>
      <c r="D250" s="216"/>
      <c r="E250" s="216"/>
      <c r="AE250" s="161"/>
      <c r="AF250" s="161"/>
      <c r="AG250" s="161"/>
      <c r="AH250" s="161"/>
      <c r="AI250" s="161"/>
      <c r="AJ250" s="161"/>
      <c r="AK250" s="161"/>
    </row>
    <row r="251" spans="2:37" s="162" customFormat="1" ht="12" customHeight="1">
      <c r="B251" s="216"/>
      <c r="C251" s="216"/>
      <c r="D251" s="216"/>
      <c r="E251" s="216"/>
      <c r="AE251" s="161"/>
      <c r="AF251" s="161"/>
      <c r="AG251" s="161"/>
      <c r="AH251" s="161"/>
      <c r="AI251" s="161"/>
      <c r="AJ251" s="161"/>
      <c r="AK251" s="161"/>
    </row>
    <row r="252" spans="2:37" s="162" customFormat="1" ht="12" customHeight="1">
      <c r="B252" s="216"/>
      <c r="C252" s="216"/>
      <c r="D252" s="216"/>
      <c r="E252" s="216"/>
      <c r="AE252" s="161"/>
      <c r="AF252" s="161"/>
      <c r="AG252" s="161"/>
      <c r="AH252" s="161"/>
      <c r="AI252" s="161"/>
      <c r="AJ252" s="161"/>
      <c r="AK252" s="161"/>
    </row>
    <row r="253" spans="2:37" s="162" customFormat="1" ht="12" customHeight="1">
      <c r="B253" s="216"/>
      <c r="C253" s="216"/>
      <c r="D253" s="216"/>
      <c r="E253" s="216"/>
      <c r="AE253" s="161"/>
      <c r="AF253" s="161"/>
      <c r="AG253" s="161"/>
      <c r="AH253" s="161"/>
      <c r="AI253" s="161"/>
      <c r="AJ253" s="161"/>
      <c r="AK253" s="161"/>
    </row>
    <row r="254" spans="2:37" s="162" customFormat="1" ht="12" customHeight="1">
      <c r="B254" s="216"/>
      <c r="C254" s="216"/>
      <c r="D254" s="216"/>
      <c r="E254" s="216"/>
      <c r="AE254" s="161"/>
      <c r="AF254" s="161"/>
      <c r="AG254" s="161"/>
      <c r="AH254" s="161"/>
      <c r="AI254" s="161"/>
      <c r="AJ254" s="161"/>
      <c r="AK254" s="161"/>
    </row>
    <row r="255" spans="2:37" s="162" customFormat="1" ht="12" customHeight="1">
      <c r="B255" s="216"/>
      <c r="C255" s="216"/>
      <c r="D255" s="216"/>
      <c r="E255" s="216"/>
      <c r="AE255" s="161"/>
      <c r="AF255" s="161"/>
      <c r="AG255" s="161"/>
      <c r="AH255" s="161"/>
      <c r="AI255" s="161"/>
      <c r="AJ255" s="161"/>
      <c r="AK255" s="161"/>
    </row>
    <row r="256" spans="2:37" s="162" customFormat="1" ht="12" customHeight="1">
      <c r="B256" s="216"/>
      <c r="C256" s="216"/>
      <c r="D256" s="216"/>
      <c r="E256" s="216"/>
      <c r="AE256" s="161"/>
      <c r="AF256" s="161"/>
      <c r="AG256" s="161"/>
      <c r="AH256" s="161"/>
      <c r="AI256" s="161"/>
      <c r="AJ256" s="161"/>
      <c r="AK256" s="161"/>
    </row>
    <row r="257" spans="2:37" s="162" customFormat="1" ht="12" customHeight="1">
      <c r="B257" s="216"/>
      <c r="C257" s="216"/>
      <c r="D257" s="216"/>
      <c r="E257" s="216"/>
      <c r="AE257" s="161"/>
      <c r="AF257" s="161"/>
      <c r="AG257" s="161"/>
      <c r="AH257" s="161"/>
      <c r="AI257" s="161"/>
      <c r="AJ257" s="161"/>
      <c r="AK257" s="161"/>
    </row>
    <row r="258" spans="2:37" s="162" customFormat="1" ht="12" customHeight="1">
      <c r="B258" s="216"/>
      <c r="C258" s="216"/>
      <c r="D258" s="216"/>
      <c r="E258" s="216"/>
      <c r="AE258" s="161"/>
      <c r="AF258" s="161"/>
      <c r="AG258" s="161"/>
      <c r="AH258" s="161"/>
      <c r="AI258" s="161"/>
      <c r="AJ258" s="161"/>
      <c r="AK258" s="161"/>
    </row>
    <row r="259" spans="2:37" s="162" customFormat="1" ht="12" customHeight="1">
      <c r="B259" s="216"/>
      <c r="C259" s="216"/>
      <c r="D259" s="216"/>
      <c r="E259" s="216"/>
      <c r="AE259" s="161"/>
      <c r="AF259" s="161"/>
      <c r="AG259" s="161"/>
      <c r="AH259" s="161"/>
      <c r="AI259" s="161"/>
      <c r="AJ259" s="161"/>
      <c r="AK259" s="161"/>
    </row>
    <row r="260" spans="2:37" s="162" customFormat="1" ht="12" customHeight="1">
      <c r="B260" s="216"/>
      <c r="C260" s="216"/>
      <c r="D260" s="216"/>
      <c r="E260" s="216"/>
      <c r="AE260" s="161"/>
      <c r="AF260" s="161"/>
      <c r="AG260" s="161"/>
      <c r="AH260" s="161"/>
      <c r="AI260" s="161"/>
      <c r="AJ260" s="161"/>
      <c r="AK260" s="161"/>
    </row>
    <row r="261" spans="2:37" s="162" customFormat="1" ht="12" customHeight="1">
      <c r="B261" s="216"/>
      <c r="C261" s="216"/>
      <c r="D261" s="216"/>
      <c r="E261" s="216"/>
      <c r="AE261" s="161"/>
      <c r="AF261" s="161"/>
      <c r="AG261" s="161"/>
      <c r="AH261" s="161"/>
      <c r="AI261" s="161"/>
      <c r="AJ261" s="161"/>
      <c r="AK261" s="161"/>
    </row>
    <row r="262" spans="2:37" s="162" customFormat="1" ht="12" customHeight="1">
      <c r="B262" s="216"/>
      <c r="C262" s="216"/>
      <c r="D262" s="216"/>
      <c r="E262" s="216"/>
      <c r="AE262" s="161"/>
      <c r="AF262" s="161"/>
      <c r="AG262" s="161"/>
      <c r="AH262" s="161"/>
      <c r="AI262" s="161"/>
      <c r="AJ262" s="161"/>
      <c r="AK262" s="161"/>
    </row>
    <row r="263" spans="2:37" s="162" customFormat="1" ht="12" customHeight="1">
      <c r="B263" s="216"/>
      <c r="C263" s="216"/>
      <c r="D263" s="216"/>
      <c r="E263" s="216"/>
      <c r="AE263" s="161"/>
      <c r="AF263" s="161"/>
      <c r="AG263" s="161"/>
      <c r="AH263" s="161"/>
      <c r="AI263" s="161"/>
      <c r="AJ263" s="161"/>
      <c r="AK263" s="161"/>
    </row>
    <row r="264" spans="2:37" s="162" customFormat="1" ht="12" customHeight="1">
      <c r="B264" s="216"/>
      <c r="C264" s="216"/>
      <c r="D264" s="216"/>
      <c r="E264" s="216"/>
      <c r="AE264" s="161"/>
      <c r="AF264" s="161"/>
      <c r="AG264" s="161"/>
      <c r="AH264" s="161"/>
      <c r="AI264" s="161"/>
      <c r="AJ264" s="161"/>
      <c r="AK264" s="161"/>
    </row>
    <row r="265" spans="2:37" s="162" customFormat="1" ht="12" customHeight="1">
      <c r="B265" s="216"/>
      <c r="C265" s="216"/>
      <c r="D265" s="216"/>
      <c r="E265" s="216"/>
      <c r="AE265" s="161"/>
      <c r="AF265" s="161"/>
      <c r="AG265" s="161"/>
      <c r="AH265" s="161"/>
      <c r="AI265" s="161"/>
      <c r="AJ265" s="161"/>
      <c r="AK265" s="161"/>
    </row>
    <row r="266" spans="2:37" s="162" customFormat="1" ht="12" customHeight="1">
      <c r="B266" s="216"/>
      <c r="C266" s="216"/>
      <c r="D266" s="216"/>
      <c r="E266" s="216"/>
      <c r="AE266" s="161"/>
      <c r="AF266" s="161"/>
      <c r="AG266" s="161"/>
      <c r="AH266" s="161"/>
      <c r="AI266" s="161"/>
      <c r="AJ266" s="161"/>
      <c r="AK266" s="161"/>
    </row>
    <row r="267" spans="2:37" s="162" customFormat="1" ht="12" customHeight="1">
      <c r="B267" s="216"/>
      <c r="C267" s="216"/>
      <c r="D267" s="216"/>
      <c r="E267" s="216"/>
      <c r="AE267" s="161"/>
      <c r="AF267" s="161"/>
      <c r="AG267" s="161"/>
      <c r="AH267" s="161"/>
      <c r="AI267" s="161"/>
      <c r="AJ267" s="161"/>
      <c r="AK267" s="161"/>
    </row>
    <row r="268" spans="2:37" s="162" customFormat="1" ht="12" customHeight="1">
      <c r="B268" s="216"/>
      <c r="C268" s="216"/>
      <c r="D268" s="216"/>
      <c r="E268" s="216"/>
      <c r="AE268" s="161"/>
      <c r="AF268" s="161"/>
      <c r="AG268" s="161"/>
      <c r="AH268" s="161"/>
      <c r="AI268" s="161"/>
      <c r="AJ268" s="161"/>
      <c r="AK268" s="161"/>
    </row>
    <row r="269" spans="2:37" s="162" customFormat="1" ht="12" customHeight="1">
      <c r="B269" s="216"/>
      <c r="C269" s="216"/>
      <c r="D269" s="216"/>
      <c r="E269" s="216"/>
      <c r="AE269" s="161"/>
      <c r="AF269" s="161"/>
      <c r="AG269" s="161"/>
      <c r="AH269" s="161"/>
      <c r="AI269" s="161"/>
      <c r="AJ269" s="161"/>
      <c r="AK269" s="161"/>
    </row>
    <row r="270" spans="2:37" s="162" customFormat="1" ht="12" customHeight="1">
      <c r="B270" s="216"/>
      <c r="C270" s="216"/>
      <c r="D270" s="216"/>
      <c r="E270" s="216"/>
      <c r="AE270" s="161"/>
      <c r="AF270" s="161"/>
      <c r="AG270" s="161"/>
      <c r="AH270" s="161"/>
      <c r="AI270" s="161"/>
      <c r="AJ270" s="161"/>
      <c r="AK270" s="161"/>
    </row>
    <row r="271" spans="2:37" s="162" customFormat="1" ht="12" customHeight="1">
      <c r="B271" s="216"/>
      <c r="C271" s="216"/>
      <c r="D271" s="216"/>
      <c r="E271" s="216"/>
      <c r="AE271" s="161"/>
      <c r="AF271" s="161"/>
      <c r="AG271" s="161"/>
      <c r="AH271" s="161"/>
      <c r="AI271" s="161"/>
      <c r="AJ271" s="161"/>
      <c r="AK271" s="161"/>
    </row>
    <row r="272" spans="2:37" s="162" customFormat="1" ht="12" customHeight="1">
      <c r="B272" s="216"/>
      <c r="C272" s="216"/>
      <c r="D272" s="216"/>
      <c r="E272" s="216"/>
      <c r="AE272" s="161"/>
      <c r="AF272" s="161"/>
      <c r="AG272" s="161"/>
      <c r="AH272" s="161"/>
      <c r="AI272" s="161"/>
      <c r="AJ272" s="161"/>
      <c r="AK272" s="161"/>
    </row>
    <row r="273" spans="2:37" s="162" customFormat="1" ht="12" customHeight="1">
      <c r="B273" s="216"/>
      <c r="C273" s="216"/>
      <c r="D273" s="216"/>
      <c r="E273" s="216"/>
      <c r="AE273" s="161"/>
      <c r="AF273" s="161"/>
      <c r="AG273" s="161"/>
      <c r="AH273" s="161"/>
      <c r="AI273" s="161"/>
      <c r="AJ273" s="161"/>
      <c r="AK273" s="161"/>
    </row>
    <row r="274" spans="2:37" s="162" customFormat="1" ht="12" customHeight="1">
      <c r="B274" s="216"/>
      <c r="C274" s="216"/>
      <c r="D274" s="216"/>
      <c r="E274" s="216"/>
      <c r="AE274" s="161"/>
      <c r="AF274" s="161"/>
      <c r="AG274" s="161"/>
      <c r="AH274" s="161"/>
      <c r="AI274" s="161"/>
      <c r="AJ274" s="161"/>
      <c r="AK274" s="161"/>
    </row>
    <row r="275" spans="2:37" s="162" customFormat="1" ht="12" customHeight="1">
      <c r="B275" s="216"/>
      <c r="C275" s="216"/>
      <c r="D275" s="216"/>
      <c r="E275" s="216"/>
      <c r="AE275" s="161"/>
      <c r="AF275" s="161"/>
      <c r="AG275" s="161"/>
      <c r="AH275" s="161"/>
      <c r="AI275" s="161"/>
      <c r="AJ275" s="161"/>
      <c r="AK275" s="161"/>
    </row>
    <row r="276" spans="2:37" s="162" customFormat="1" ht="12" customHeight="1">
      <c r="B276" s="216"/>
      <c r="C276" s="216"/>
      <c r="D276" s="216"/>
      <c r="E276" s="216"/>
      <c r="AE276" s="161"/>
      <c r="AF276" s="161"/>
      <c r="AG276" s="161"/>
      <c r="AH276" s="161"/>
      <c r="AI276" s="161"/>
      <c r="AJ276" s="161"/>
      <c r="AK276" s="161"/>
    </row>
    <row r="277" spans="2:37" s="162" customFormat="1" ht="12" customHeight="1">
      <c r="B277" s="216"/>
      <c r="C277" s="216"/>
      <c r="D277" s="216"/>
      <c r="E277" s="216"/>
      <c r="AE277" s="161"/>
      <c r="AF277" s="161"/>
      <c r="AG277" s="161"/>
      <c r="AH277" s="161"/>
      <c r="AI277" s="161"/>
      <c r="AJ277" s="161"/>
      <c r="AK277" s="161"/>
    </row>
    <row r="278" spans="2:37" s="162" customFormat="1" ht="12" customHeight="1">
      <c r="B278" s="216"/>
      <c r="C278" s="216"/>
      <c r="D278" s="216"/>
      <c r="E278" s="216"/>
      <c r="AE278" s="161"/>
      <c r="AF278" s="161"/>
      <c r="AG278" s="161"/>
      <c r="AH278" s="161"/>
      <c r="AI278" s="161"/>
      <c r="AJ278" s="161"/>
      <c r="AK278" s="161"/>
    </row>
    <row r="279" spans="2:37" s="162" customFormat="1" ht="12" customHeight="1">
      <c r="B279" s="216"/>
      <c r="C279" s="216"/>
      <c r="D279" s="216"/>
      <c r="E279" s="216"/>
      <c r="AE279" s="161"/>
      <c r="AF279" s="161"/>
      <c r="AG279" s="161"/>
      <c r="AH279" s="161"/>
      <c r="AI279" s="161"/>
      <c r="AJ279" s="161"/>
      <c r="AK279" s="161"/>
    </row>
    <row r="280" spans="2:37" s="162" customFormat="1" ht="12" customHeight="1">
      <c r="B280" s="216"/>
      <c r="C280" s="216"/>
      <c r="D280" s="216"/>
      <c r="E280" s="216"/>
      <c r="AE280" s="161"/>
      <c r="AF280" s="161"/>
      <c r="AG280" s="161"/>
      <c r="AH280" s="161"/>
      <c r="AI280" s="161"/>
      <c r="AJ280" s="161"/>
      <c r="AK280" s="161"/>
    </row>
    <row r="281" spans="2:37" s="162" customFormat="1" ht="12" customHeight="1">
      <c r="B281" s="216"/>
      <c r="C281" s="216"/>
      <c r="D281" s="216"/>
      <c r="E281" s="216"/>
      <c r="AE281" s="161"/>
      <c r="AF281" s="161"/>
      <c r="AG281" s="161"/>
      <c r="AH281" s="161"/>
      <c r="AI281" s="161"/>
      <c r="AJ281" s="161"/>
      <c r="AK281" s="161"/>
    </row>
    <row r="282" spans="2:37" s="162" customFormat="1" ht="12" customHeight="1">
      <c r="B282" s="216"/>
      <c r="C282" s="216"/>
      <c r="D282" s="216"/>
      <c r="E282" s="216"/>
      <c r="AE282" s="161"/>
      <c r="AF282" s="161"/>
      <c r="AG282" s="161"/>
      <c r="AH282" s="161"/>
      <c r="AI282" s="161"/>
      <c r="AJ282" s="161"/>
      <c r="AK282" s="161"/>
    </row>
    <row r="283" spans="2:37" s="162" customFormat="1" ht="12" customHeight="1">
      <c r="B283" s="216"/>
      <c r="C283" s="216"/>
      <c r="D283" s="216"/>
      <c r="E283" s="216"/>
      <c r="AE283" s="161"/>
      <c r="AF283" s="161"/>
      <c r="AG283" s="161"/>
      <c r="AH283" s="161"/>
      <c r="AI283" s="161"/>
      <c r="AJ283" s="161"/>
      <c r="AK283" s="161"/>
    </row>
    <row r="284" spans="2:37" s="162" customFormat="1" ht="12" customHeight="1">
      <c r="B284" s="216"/>
      <c r="C284" s="216"/>
      <c r="D284" s="216"/>
      <c r="E284" s="216"/>
      <c r="AE284" s="161"/>
      <c r="AF284" s="161"/>
      <c r="AG284" s="161"/>
      <c r="AH284" s="161"/>
      <c r="AI284" s="161"/>
      <c r="AJ284" s="161"/>
      <c r="AK284" s="161"/>
    </row>
    <row r="285" spans="2:37" s="162" customFormat="1" ht="12" customHeight="1">
      <c r="B285" s="216"/>
      <c r="C285" s="216"/>
      <c r="D285" s="216"/>
      <c r="E285" s="216"/>
      <c r="AE285" s="161"/>
      <c r="AF285" s="161"/>
      <c r="AG285" s="161"/>
      <c r="AH285" s="161"/>
      <c r="AI285" s="161"/>
      <c r="AJ285" s="161"/>
      <c r="AK285" s="161"/>
    </row>
    <row r="286" spans="2:37" s="162" customFormat="1" ht="12" customHeight="1">
      <c r="B286" s="216"/>
      <c r="C286" s="216"/>
      <c r="D286" s="216"/>
      <c r="E286" s="216"/>
      <c r="AE286" s="161"/>
      <c r="AF286" s="161"/>
      <c r="AG286" s="161"/>
      <c r="AH286" s="161"/>
      <c r="AI286" s="161"/>
      <c r="AJ286" s="161"/>
      <c r="AK286" s="161"/>
    </row>
    <row r="287" spans="2:37" s="162" customFormat="1" ht="12" customHeight="1">
      <c r="B287" s="216"/>
      <c r="C287" s="216"/>
      <c r="D287" s="216"/>
      <c r="E287" s="216"/>
      <c r="AE287" s="161"/>
      <c r="AF287" s="161"/>
      <c r="AG287" s="161"/>
      <c r="AH287" s="161"/>
      <c r="AI287" s="161"/>
      <c r="AJ287" s="161"/>
      <c r="AK287" s="161"/>
    </row>
    <row r="288" spans="2:37" s="162" customFormat="1" ht="12" customHeight="1">
      <c r="B288" s="216"/>
      <c r="C288" s="216"/>
      <c r="D288" s="216"/>
      <c r="E288" s="216"/>
      <c r="AE288" s="161"/>
      <c r="AF288" s="161"/>
      <c r="AG288" s="161"/>
      <c r="AH288" s="161"/>
      <c r="AI288" s="161"/>
      <c r="AJ288" s="161"/>
      <c r="AK288" s="161"/>
    </row>
    <row r="289" spans="2:37" s="162" customFormat="1" ht="12" customHeight="1">
      <c r="B289" s="216"/>
      <c r="C289" s="216"/>
      <c r="D289" s="216"/>
      <c r="E289" s="216"/>
      <c r="AE289" s="161"/>
      <c r="AF289" s="161"/>
      <c r="AG289" s="161"/>
      <c r="AH289" s="161"/>
      <c r="AI289" s="161"/>
      <c r="AJ289" s="161"/>
      <c r="AK289" s="161"/>
    </row>
    <row r="290" spans="2:37" s="162" customFormat="1" ht="12" customHeight="1">
      <c r="B290" s="216"/>
      <c r="C290" s="216"/>
      <c r="D290" s="216"/>
      <c r="E290" s="216"/>
      <c r="AE290" s="161"/>
      <c r="AF290" s="161"/>
      <c r="AG290" s="161"/>
      <c r="AH290" s="161"/>
      <c r="AI290" s="161"/>
      <c r="AJ290" s="161"/>
      <c r="AK290" s="161"/>
    </row>
    <row r="291" spans="2:37" s="162" customFormat="1" ht="12" customHeight="1">
      <c r="B291" s="216"/>
      <c r="C291" s="216"/>
      <c r="D291" s="216"/>
      <c r="E291" s="216"/>
      <c r="AE291" s="161"/>
      <c r="AF291" s="161"/>
      <c r="AG291" s="161"/>
      <c r="AH291" s="161"/>
      <c r="AI291" s="161"/>
      <c r="AJ291" s="161"/>
      <c r="AK291" s="161"/>
    </row>
    <row r="292" spans="2:37" s="162" customFormat="1" ht="12" customHeight="1">
      <c r="B292" s="216"/>
      <c r="C292" s="216"/>
      <c r="D292" s="216"/>
      <c r="E292" s="216"/>
      <c r="AE292" s="161"/>
      <c r="AF292" s="161"/>
      <c r="AG292" s="161"/>
      <c r="AH292" s="161"/>
      <c r="AI292" s="161"/>
      <c r="AJ292" s="161"/>
      <c r="AK292" s="161"/>
    </row>
    <row r="293" spans="2:37" s="162" customFormat="1" ht="12" customHeight="1">
      <c r="B293" s="216"/>
      <c r="C293" s="216"/>
      <c r="D293" s="216"/>
      <c r="E293" s="216"/>
      <c r="AE293" s="161"/>
      <c r="AF293" s="161"/>
      <c r="AG293" s="161"/>
      <c r="AH293" s="161"/>
      <c r="AI293" s="161"/>
      <c r="AJ293" s="161"/>
      <c r="AK293" s="161"/>
    </row>
    <row r="294" spans="2:37" s="162" customFormat="1" ht="12" customHeight="1">
      <c r="B294" s="216"/>
      <c r="C294" s="216"/>
      <c r="D294" s="216"/>
      <c r="E294" s="216"/>
      <c r="AE294" s="161"/>
      <c r="AF294" s="161"/>
      <c r="AG294" s="161"/>
      <c r="AH294" s="161"/>
      <c r="AI294" s="161"/>
      <c r="AJ294" s="161"/>
      <c r="AK294" s="161"/>
    </row>
    <row r="295" spans="2:37" s="162" customFormat="1" ht="12" customHeight="1">
      <c r="B295" s="216"/>
      <c r="C295" s="216"/>
      <c r="D295" s="216"/>
      <c r="E295" s="216"/>
      <c r="AE295" s="161"/>
      <c r="AF295" s="161"/>
      <c r="AG295" s="161"/>
      <c r="AH295" s="161"/>
      <c r="AI295" s="161"/>
      <c r="AJ295" s="161"/>
      <c r="AK295" s="161"/>
    </row>
    <row r="296" spans="2:37" s="162" customFormat="1" ht="12" customHeight="1">
      <c r="B296" s="216"/>
      <c r="C296" s="216"/>
      <c r="D296" s="216"/>
      <c r="E296" s="216"/>
      <c r="AE296" s="161"/>
      <c r="AF296" s="161"/>
      <c r="AG296" s="161"/>
      <c r="AH296" s="161"/>
      <c r="AI296" s="161"/>
      <c r="AJ296" s="161"/>
      <c r="AK296" s="161"/>
    </row>
    <row r="297" spans="2:37" s="162" customFormat="1" ht="12" customHeight="1">
      <c r="B297" s="216"/>
      <c r="C297" s="216"/>
      <c r="D297" s="216"/>
      <c r="E297" s="216"/>
      <c r="AE297" s="161"/>
      <c r="AF297" s="161"/>
      <c r="AG297" s="161"/>
      <c r="AH297" s="161"/>
      <c r="AI297" s="161"/>
      <c r="AJ297" s="161"/>
      <c r="AK297" s="161"/>
    </row>
    <row r="298" spans="2:37" s="162" customFormat="1" ht="12" customHeight="1">
      <c r="B298" s="216"/>
      <c r="C298" s="216"/>
      <c r="D298" s="216"/>
      <c r="E298" s="216"/>
      <c r="AE298" s="161"/>
      <c r="AF298" s="161"/>
      <c r="AG298" s="161"/>
      <c r="AH298" s="161"/>
      <c r="AI298" s="161"/>
      <c r="AJ298" s="161"/>
      <c r="AK298" s="161"/>
    </row>
    <row r="299" spans="2:37" s="162" customFormat="1" ht="12" customHeight="1">
      <c r="B299" s="216"/>
      <c r="C299" s="216"/>
      <c r="D299" s="216"/>
      <c r="E299" s="216"/>
      <c r="AE299" s="161"/>
      <c r="AF299" s="161"/>
      <c r="AG299" s="161"/>
      <c r="AH299" s="161"/>
      <c r="AI299" s="161"/>
      <c r="AJ299" s="161"/>
      <c r="AK299" s="161"/>
    </row>
    <row r="300" spans="2:37" s="162" customFormat="1" ht="12" customHeight="1">
      <c r="B300" s="216"/>
      <c r="C300" s="216"/>
      <c r="D300" s="216"/>
      <c r="E300" s="216"/>
      <c r="AE300" s="161"/>
      <c r="AF300" s="161"/>
      <c r="AG300" s="161"/>
      <c r="AH300" s="161"/>
      <c r="AI300" s="161"/>
      <c r="AJ300" s="161"/>
      <c r="AK300" s="161"/>
    </row>
    <row r="301" spans="2:37" s="162" customFormat="1" ht="12" customHeight="1">
      <c r="B301" s="216"/>
      <c r="C301" s="216"/>
      <c r="D301" s="216"/>
      <c r="E301" s="216"/>
      <c r="AE301" s="161"/>
      <c r="AF301" s="161"/>
      <c r="AG301" s="161"/>
      <c r="AH301" s="161"/>
      <c r="AI301" s="161"/>
      <c r="AJ301" s="161"/>
      <c r="AK301" s="161"/>
    </row>
    <row r="302" spans="2:37" s="162" customFormat="1" ht="12" customHeight="1">
      <c r="B302" s="216"/>
      <c r="C302" s="216"/>
      <c r="D302" s="216"/>
      <c r="E302" s="216"/>
      <c r="AE302" s="161"/>
      <c r="AF302" s="161"/>
      <c r="AG302" s="161"/>
      <c r="AH302" s="161"/>
      <c r="AI302" s="161"/>
      <c r="AJ302" s="161"/>
      <c r="AK302" s="161"/>
    </row>
    <row r="303" spans="2:37" s="162" customFormat="1" ht="12" customHeight="1">
      <c r="B303" s="216"/>
      <c r="C303" s="216"/>
      <c r="D303" s="216"/>
      <c r="E303" s="216"/>
      <c r="AE303" s="161"/>
      <c r="AF303" s="161"/>
      <c r="AG303" s="161"/>
      <c r="AH303" s="161"/>
      <c r="AI303" s="161"/>
      <c r="AJ303" s="161"/>
      <c r="AK303" s="161"/>
    </row>
    <row r="304" spans="2:37" s="162" customFormat="1" ht="12" customHeight="1">
      <c r="B304" s="216"/>
      <c r="C304" s="216"/>
      <c r="D304" s="216"/>
      <c r="E304" s="216"/>
      <c r="AE304" s="161"/>
      <c r="AF304" s="161"/>
      <c r="AG304" s="161"/>
      <c r="AH304" s="161"/>
      <c r="AI304" s="161"/>
      <c r="AJ304" s="161"/>
      <c r="AK304" s="161"/>
    </row>
    <row r="305" spans="2:37" s="162" customFormat="1" ht="12" customHeight="1">
      <c r="B305" s="216"/>
      <c r="C305" s="216"/>
      <c r="D305" s="216"/>
      <c r="E305" s="216"/>
      <c r="AE305" s="161"/>
      <c r="AF305" s="161"/>
      <c r="AG305" s="161"/>
      <c r="AH305" s="161"/>
      <c r="AI305" s="161"/>
      <c r="AJ305" s="161"/>
      <c r="AK305" s="161"/>
    </row>
    <row r="306" spans="2:37" s="162" customFormat="1" ht="12" customHeight="1">
      <c r="B306" s="216"/>
      <c r="C306" s="216"/>
      <c r="D306" s="216"/>
      <c r="E306" s="216"/>
      <c r="AE306" s="161"/>
      <c r="AF306" s="161"/>
      <c r="AG306" s="161"/>
      <c r="AH306" s="161"/>
      <c r="AI306" s="161"/>
      <c r="AJ306" s="161"/>
      <c r="AK306" s="161"/>
    </row>
    <row r="307" spans="2:37" s="162" customFormat="1" ht="12" customHeight="1">
      <c r="B307" s="216"/>
      <c r="C307" s="216"/>
      <c r="D307" s="216"/>
      <c r="E307" s="216"/>
      <c r="AE307" s="161"/>
      <c r="AF307" s="161"/>
      <c r="AG307" s="161"/>
      <c r="AH307" s="161"/>
      <c r="AI307" s="161"/>
      <c r="AJ307" s="161"/>
      <c r="AK307" s="161"/>
    </row>
    <row r="308" spans="2:37" s="162" customFormat="1" ht="12" customHeight="1">
      <c r="B308" s="216"/>
      <c r="C308" s="216"/>
      <c r="D308" s="216"/>
      <c r="E308" s="216"/>
      <c r="AE308" s="161"/>
      <c r="AF308" s="161"/>
      <c r="AG308" s="161"/>
      <c r="AH308" s="161"/>
      <c r="AI308" s="161"/>
      <c r="AJ308" s="161"/>
      <c r="AK308" s="161"/>
    </row>
    <row r="309" spans="2:37" s="162" customFormat="1" ht="12" customHeight="1">
      <c r="B309" s="216"/>
      <c r="C309" s="216"/>
      <c r="D309" s="216"/>
      <c r="E309" s="216"/>
      <c r="AE309" s="161"/>
      <c r="AF309" s="161"/>
      <c r="AG309" s="161"/>
      <c r="AH309" s="161"/>
      <c r="AI309" s="161"/>
      <c r="AJ309" s="161"/>
      <c r="AK309" s="161"/>
    </row>
    <row r="310" spans="2:37" s="162" customFormat="1" ht="12" customHeight="1">
      <c r="B310" s="216"/>
      <c r="C310" s="216"/>
      <c r="D310" s="216"/>
      <c r="E310" s="216"/>
      <c r="AE310" s="161"/>
      <c r="AF310" s="161"/>
      <c r="AG310" s="161"/>
      <c r="AH310" s="161"/>
      <c r="AI310" s="161"/>
      <c r="AJ310" s="161"/>
      <c r="AK310" s="161"/>
    </row>
    <row r="311" spans="2:37" s="162" customFormat="1" ht="12" customHeight="1">
      <c r="B311" s="216"/>
      <c r="C311" s="216"/>
      <c r="D311" s="216"/>
      <c r="E311" s="216"/>
      <c r="AE311" s="161"/>
      <c r="AF311" s="161"/>
      <c r="AG311" s="161"/>
      <c r="AH311" s="161"/>
      <c r="AI311" s="161"/>
      <c r="AJ311" s="161"/>
      <c r="AK311" s="161"/>
    </row>
    <row r="312" spans="2:37" s="162" customFormat="1" ht="12" customHeight="1">
      <c r="B312" s="216"/>
      <c r="C312" s="216"/>
      <c r="D312" s="216"/>
      <c r="E312" s="216"/>
      <c r="AE312" s="161"/>
      <c r="AF312" s="161"/>
      <c r="AG312" s="161"/>
      <c r="AH312" s="161"/>
      <c r="AI312" s="161"/>
      <c r="AJ312" s="161"/>
      <c r="AK312" s="161"/>
    </row>
    <row r="313" spans="2:37" s="162" customFormat="1" ht="12" customHeight="1">
      <c r="B313" s="216"/>
      <c r="C313" s="216"/>
      <c r="D313" s="216"/>
      <c r="E313" s="216"/>
      <c r="AE313" s="161"/>
      <c r="AF313" s="161"/>
      <c r="AG313" s="161"/>
      <c r="AH313" s="161"/>
      <c r="AI313" s="161"/>
      <c r="AJ313" s="161"/>
      <c r="AK313" s="161"/>
    </row>
    <row r="314" spans="2:37" s="162" customFormat="1" ht="12" customHeight="1">
      <c r="B314" s="216"/>
      <c r="C314" s="216"/>
      <c r="D314" s="216"/>
      <c r="E314" s="216"/>
      <c r="AE314" s="161"/>
      <c r="AF314" s="161"/>
      <c r="AG314" s="161"/>
      <c r="AH314" s="161"/>
      <c r="AI314" s="161"/>
      <c r="AJ314" s="161"/>
      <c r="AK314" s="161"/>
    </row>
    <row r="315" spans="2:37" s="162" customFormat="1" ht="12" customHeight="1">
      <c r="B315" s="216"/>
      <c r="C315" s="216"/>
      <c r="D315" s="216"/>
      <c r="E315" s="216"/>
      <c r="AE315" s="161"/>
      <c r="AF315" s="161"/>
      <c r="AG315" s="161"/>
      <c r="AH315" s="161"/>
      <c r="AI315" s="161"/>
      <c r="AJ315" s="161"/>
      <c r="AK315" s="161"/>
    </row>
    <row r="316" spans="2:37" s="162" customFormat="1" ht="12" customHeight="1">
      <c r="B316" s="216"/>
      <c r="C316" s="216"/>
      <c r="D316" s="216"/>
      <c r="E316" s="216"/>
      <c r="AE316" s="161"/>
      <c r="AF316" s="161"/>
      <c r="AG316" s="161"/>
      <c r="AH316" s="161"/>
      <c r="AI316" s="161"/>
      <c r="AJ316" s="161"/>
      <c r="AK316" s="161"/>
    </row>
    <row r="317" spans="2:37" s="162" customFormat="1" ht="12" customHeight="1">
      <c r="B317" s="216"/>
      <c r="C317" s="216"/>
      <c r="D317" s="216"/>
      <c r="E317" s="216"/>
      <c r="AE317" s="161"/>
      <c r="AF317" s="161"/>
      <c r="AG317" s="161"/>
      <c r="AH317" s="161"/>
      <c r="AI317" s="161"/>
      <c r="AJ317" s="161"/>
      <c r="AK317" s="161"/>
    </row>
    <row r="318" spans="2:37" s="162" customFormat="1" ht="12" customHeight="1">
      <c r="B318" s="216"/>
      <c r="C318" s="216"/>
      <c r="D318" s="216"/>
      <c r="E318" s="216"/>
      <c r="AE318" s="161"/>
      <c r="AF318" s="161"/>
      <c r="AG318" s="161"/>
      <c r="AH318" s="161"/>
      <c r="AI318" s="161"/>
      <c r="AJ318" s="161"/>
      <c r="AK318" s="161"/>
    </row>
    <row r="319" spans="2:37" s="162" customFormat="1" ht="12" customHeight="1">
      <c r="B319" s="216"/>
      <c r="C319" s="216"/>
      <c r="D319" s="216"/>
      <c r="E319" s="216"/>
      <c r="AE319" s="161"/>
      <c r="AF319" s="161"/>
      <c r="AG319" s="161"/>
      <c r="AH319" s="161"/>
      <c r="AI319" s="161"/>
      <c r="AJ319" s="161"/>
      <c r="AK319" s="161"/>
    </row>
    <row r="320" spans="2:37" s="162" customFormat="1" ht="12" customHeight="1">
      <c r="B320" s="216"/>
      <c r="C320" s="216"/>
      <c r="D320" s="216"/>
      <c r="E320" s="216"/>
      <c r="AE320" s="161"/>
      <c r="AF320" s="161"/>
      <c r="AG320" s="161"/>
      <c r="AH320" s="161"/>
      <c r="AI320" s="161"/>
      <c r="AJ320" s="161"/>
      <c r="AK320" s="161"/>
    </row>
    <row r="321" spans="2:37" s="162" customFormat="1" ht="12" customHeight="1">
      <c r="B321" s="216"/>
      <c r="C321" s="216"/>
      <c r="D321" s="216"/>
      <c r="E321" s="216"/>
      <c r="AE321" s="161"/>
      <c r="AF321" s="161"/>
      <c r="AG321" s="161"/>
      <c r="AH321" s="161"/>
      <c r="AI321" s="161"/>
      <c r="AJ321" s="161"/>
      <c r="AK321" s="161"/>
    </row>
    <row r="322" spans="2:37" s="162" customFormat="1" ht="12" customHeight="1">
      <c r="B322" s="216"/>
      <c r="C322" s="216"/>
      <c r="D322" s="216"/>
      <c r="E322" s="216"/>
      <c r="AE322" s="161"/>
      <c r="AF322" s="161"/>
      <c r="AG322" s="161"/>
      <c r="AH322" s="161"/>
      <c r="AI322" s="161"/>
      <c r="AJ322" s="161"/>
      <c r="AK322" s="161"/>
    </row>
    <row r="323" spans="2:37" s="162" customFormat="1" ht="12" customHeight="1">
      <c r="B323" s="216"/>
      <c r="C323" s="216"/>
      <c r="D323" s="216"/>
      <c r="E323" s="216"/>
      <c r="AE323" s="161"/>
      <c r="AF323" s="161"/>
      <c r="AG323" s="161"/>
      <c r="AH323" s="161"/>
      <c r="AI323" s="161"/>
      <c r="AJ323" s="161"/>
      <c r="AK323" s="161"/>
    </row>
    <row r="324" spans="2:37" s="162" customFormat="1" ht="12" customHeight="1">
      <c r="B324" s="216"/>
      <c r="C324" s="216"/>
      <c r="D324" s="216"/>
      <c r="E324" s="216"/>
      <c r="AE324" s="161"/>
      <c r="AF324" s="161"/>
      <c r="AG324" s="161"/>
      <c r="AH324" s="161"/>
      <c r="AI324" s="161"/>
      <c r="AJ324" s="161"/>
      <c r="AK324" s="161"/>
    </row>
    <row r="325" spans="2:37" s="162" customFormat="1" ht="12" customHeight="1">
      <c r="B325" s="216"/>
      <c r="C325" s="216"/>
      <c r="D325" s="216"/>
      <c r="E325" s="216"/>
      <c r="AE325" s="161"/>
      <c r="AF325" s="161"/>
      <c r="AG325" s="161"/>
      <c r="AH325" s="161"/>
      <c r="AI325" s="161"/>
      <c r="AJ325" s="161"/>
      <c r="AK325" s="161"/>
    </row>
    <row r="326" spans="2:37" s="162" customFormat="1" ht="12" customHeight="1">
      <c r="B326" s="216"/>
      <c r="C326" s="216"/>
      <c r="D326" s="216"/>
      <c r="E326" s="216"/>
      <c r="AE326" s="161"/>
      <c r="AF326" s="161"/>
      <c r="AG326" s="161"/>
      <c r="AH326" s="161"/>
      <c r="AI326" s="161"/>
      <c r="AJ326" s="161"/>
      <c r="AK326" s="161"/>
    </row>
    <row r="327" spans="2:37" s="162" customFormat="1" ht="12" customHeight="1">
      <c r="B327" s="216"/>
      <c r="C327" s="216"/>
      <c r="D327" s="216"/>
      <c r="E327" s="216"/>
      <c r="AE327" s="161"/>
      <c r="AF327" s="161"/>
      <c r="AG327" s="161"/>
      <c r="AH327" s="161"/>
      <c r="AI327" s="161"/>
      <c r="AJ327" s="161"/>
      <c r="AK327" s="161"/>
    </row>
    <row r="328" spans="2:37" s="162" customFormat="1" ht="12" customHeight="1">
      <c r="B328" s="216"/>
      <c r="C328" s="216"/>
      <c r="D328" s="216"/>
      <c r="E328" s="216"/>
      <c r="AE328" s="161"/>
      <c r="AF328" s="161"/>
      <c r="AG328" s="161"/>
      <c r="AH328" s="161"/>
      <c r="AI328" s="161"/>
      <c r="AJ328" s="161"/>
      <c r="AK328" s="161"/>
    </row>
    <row r="329" spans="2:37" s="162" customFormat="1" ht="12" customHeight="1">
      <c r="B329" s="216"/>
      <c r="C329" s="216"/>
      <c r="D329" s="216"/>
      <c r="E329" s="216"/>
      <c r="AE329" s="161"/>
      <c r="AF329" s="161"/>
      <c r="AG329" s="161"/>
      <c r="AH329" s="161"/>
      <c r="AI329" s="161"/>
      <c r="AJ329" s="161"/>
      <c r="AK329" s="161"/>
    </row>
    <row r="330" spans="2:37" s="162" customFormat="1" ht="12" customHeight="1">
      <c r="B330" s="216"/>
      <c r="C330" s="216"/>
      <c r="D330" s="216"/>
      <c r="E330" s="216"/>
      <c r="AE330" s="161"/>
      <c r="AF330" s="161"/>
      <c r="AG330" s="161"/>
      <c r="AH330" s="161"/>
      <c r="AI330" s="161"/>
      <c r="AJ330" s="161"/>
      <c r="AK330" s="161"/>
    </row>
  </sheetData>
  <sheetProtection sheet="1" objects="1" scenarios="1" formatCells="0" selectLockedCells="1"/>
  <mergeCells count="300">
    <mergeCell ref="X72:Y72"/>
    <mergeCell ref="X73:Y73"/>
    <mergeCell ref="F71:W71"/>
    <mergeCell ref="A75:AD75"/>
    <mergeCell ref="H7:T7"/>
    <mergeCell ref="U7:AC7"/>
    <mergeCell ref="P10:Q10"/>
    <mergeCell ref="P11:Q11"/>
    <mergeCell ref="A6:AD6"/>
    <mergeCell ref="B7:G7"/>
    <mergeCell ref="Z42:AC42"/>
    <mergeCell ref="U42:Y42"/>
    <mergeCell ref="U43:Y43"/>
    <mergeCell ref="P42:T42"/>
    <mergeCell ref="P43:T43"/>
    <mergeCell ref="K42:O42"/>
    <mergeCell ref="K43:O43"/>
    <mergeCell ref="F42:J42"/>
    <mergeCell ref="F43:J43"/>
    <mergeCell ref="B42:E42"/>
    <mergeCell ref="B43:E43"/>
    <mergeCell ref="Z43:AC43"/>
    <mergeCell ref="F32:N32"/>
    <mergeCell ref="F33:N33"/>
    <mergeCell ref="B21:E21"/>
    <mergeCell ref="V21:Y21"/>
    <mergeCell ref="A8:AD8"/>
    <mergeCell ref="D12:O12"/>
    <mergeCell ref="P9:AC9"/>
    <mergeCell ref="B9:O9"/>
    <mergeCell ref="B14:C14"/>
    <mergeCell ref="R15:AC15"/>
    <mergeCell ref="B13:C13"/>
    <mergeCell ref="D13:O13"/>
    <mergeCell ref="B12:C12"/>
    <mergeCell ref="P13:Q13"/>
    <mergeCell ref="B18:E18"/>
    <mergeCell ref="B19:E19"/>
    <mergeCell ref="V18:Y18"/>
    <mergeCell ref="V19:Y19"/>
    <mergeCell ref="R18:U18"/>
    <mergeCell ref="F21:I21"/>
    <mergeCell ref="B10:C10"/>
    <mergeCell ref="B11:C11"/>
    <mergeCell ref="B15:C15"/>
    <mergeCell ref="R13:AC13"/>
    <mergeCell ref="R19:U19"/>
    <mergeCell ref="B24:AC24"/>
    <mergeCell ref="F35:N35"/>
    <mergeCell ref="B22:E22"/>
    <mergeCell ref="F31:N31"/>
    <mergeCell ref="F27:N27"/>
    <mergeCell ref="F28:N28"/>
    <mergeCell ref="F29:N29"/>
    <mergeCell ref="R22:U22"/>
    <mergeCell ref="B20:AC20"/>
    <mergeCell ref="V22:Y22"/>
    <mergeCell ref="N21:Q21"/>
    <mergeCell ref="N22:Q22"/>
    <mergeCell ref="C25:E25"/>
    <mergeCell ref="C30:E30"/>
    <mergeCell ref="C31:E31"/>
    <mergeCell ref="C32:E32"/>
    <mergeCell ref="C26:E26"/>
    <mergeCell ref="C27:E27"/>
    <mergeCell ref="C28:E28"/>
    <mergeCell ref="C29:E29"/>
    <mergeCell ref="F22:I22"/>
    <mergeCell ref="Z21:AC21"/>
    <mergeCell ref="R21:U21"/>
    <mergeCell ref="F25:N25"/>
    <mergeCell ref="B70:W70"/>
    <mergeCell ref="O31:AC31"/>
    <mergeCell ref="O32:AC32"/>
    <mergeCell ref="V60:W60"/>
    <mergeCell ref="B68:E68"/>
    <mergeCell ref="F68:I68"/>
    <mergeCell ref="J68:M68"/>
    <mergeCell ref="N68:Q68"/>
    <mergeCell ref="R68:U68"/>
    <mergeCell ref="V68:Y68"/>
    <mergeCell ref="Z68:AC68"/>
    <mergeCell ref="X57:Y57"/>
    <mergeCell ref="B56:U56"/>
    <mergeCell ref="V56:W56"/>
    <mergeCell ref="X56:Y56"/>
    <mergeCell ref="V57:W57"/>
    <mergeCell ref="R39:U39"/>
    <mergeCell ref="A67:AD67"/>
    <mergeCell ref="Z59:AA59"/>
    <mergeCell ref="F45:I45"/>
    <mergeCell ref="X60:Y60"/>
    <mergeCell ref="B59:U59"/>
    <mergeCell ref="B60:U60"/>
    <mergeCell ref="V62:W62"/>
    <mergeCell ref="X62:Y62"/>
    <mergeCell ref="V63:W63"/>
    <mergeCell ref="X63:Y63"/>
    <mergeCell ref="B62:U62"/>
    <mergeCell ref="B63:U63"/>
    <mergeCell ref="B57:U57"/>
    <mergeCell ref="V59:W59"/>
    <mergeCell ref="X59:Y59"/>
    <mergeCell ref="Z22:AC22"/>
    <mergeCell ref="C33:E33"/>
    <mergeCell ref="G55:AC55"/>
    <mergeCell ref="Z56:AA56"/>
    <mergeCell ref="AB56:AC56"/>
    <mergeCell ref="F51:T51"/>
    <mergeCell ref="U51:AC51"/>
    <mergeCell ref="N53:Q53"/>
    <mergeCell ref="R53:U53"/>
    <mergeCell ref="V53:Y53"/>
    <mergeCell ref="Z53:AC53"/>
    <mergeCell ref="B45:E45"/>
    <mergeCell ref="O28:AC28"/>
    <mergeCell ref="O29:AC29"/>
    <mergeCell ref="O33:AC33"/>
    <mergeCell ref="O27:AC27"/>
    <mergeCell ref="B53:E53"/>
    <mergeCell ref="F53:I53"/>
    <mergeCell ref="J53:M53"/>
    <mergeCell ref="O35:AC35"/>
    <mergeCell ref="J45:M45"/>
    <mergeCell ref="J46:M46"/>
    <mergeCell ref="C34:E34"/>
    <mergeCell ref="O30:AC30"/>
    <mergeCell ref="O34:AC34"/>
    <mergeCell ref="C35:E35"/>
    <mergeCell ref="F30:N30"/>
    <mergeCell ref="V38:Y38"/>
    <mergeCell ref="V39:Y39"/>
    <mergeCell ref="Z38:AC38"/>
    <mergeCell ref="Z39:AC39"/>
    <mergeCell ref="R38:U38"/>
    <mergeCell ref="J39:M39"/>
    <mergeCell ref="N38:Q38"/>
    <mergeCell ref="N39:Q39"/>
    <mergeCell ref="F34:N34"/>
    <mergeCell ref="G102:I102"/>
    <mergeCell ref="G80:P80"/>
    <mergeCell ref="AA98:AB98"/>
    <mergeCell ref="AB97:AC97"/>
    <mergeCell ref="B80:F80"/>
    <mergeCell ref="T96:U96"/>
    <mergeCell ref="T98:U98"/>
    <mergeCell ref="T99:U99"/>
    <mergeCell ref="G82:AC82"/>
    <mergeCell ref="G81:AC81"/>
    <mergeCell ref="B82:F82"/>
    <mergeCell ref="U80:AC80"/>
    <mergeCell ref="A83:AC83"/>
    <mergeCell ref="Q80:T80"/>
    <mergeCell ref="G92:N92"/>
    <mergeCell ref="Z93:AC93"/>
    <mergeCell ref="Z92:AC92"/>
    <mergeCell ref="P92:R92"/>
    <mergeCell ref="P93:R93"/>
    <mergeCell ref="G97:N100"/>
    <mergeCell ref="T100:U100"/>
    <mergeCell ref="T97:U97"/>
    <mergeCell ref="A85:AD85"/>
    <mergeCell ref="A87:AD87"/>
    <mergeCell ref="T93:U93"/>
    <mergeCell ref="T94:U94"/>
    <mergeCell ref="U84:AC84"/>
    <mergeCell ref="A1:AD1"/>
    <mergeCell ref="B76:AC76"/>
    <mergeCell ref="A23:AD23"/>
    <mergeCell ref="AB59:AC59"/>
    <mergeCell ref="A52:AD52"/>
    <mergeCell ref="A40:AD40"/>
    <mergeCell ref="B66:E66"/>
    <mergeCell ref="B74:E74"/>
    <mergeCell ref="B46:E46"/>
    <mergeCell ref="F46:I46"/>
    <mergeCell ref="AB63:AC63"/>
    <mergeCell ref="Z46:AC46"/>
    <mergeCell ref="B48:E48"/>
    <mergeCell ref="F48:AC48"/>
    <mergeCell ref="B47:AC47"/>
    <mergeCell ref="F73:W73"/>
    <mergeCell ref="F72:W72"/>
    <mergeCell ref="F74:W74"/>
    <mergeCell ref="G93:N96"/>
    <mergeCell ref="A16:AD16"/>
    <mergeCell ref="A69:AD69"/>
    <mergeCell ref="Z63:AA63"/>
    <mergeCell ref="A64:AD64"/>
    <mergeCell ref="AB62:AC62"/>
    <mergeCell ref="F66:T66"/>
    <mergeCell ref="U66:AC66"/>
    <mergeCell ref="B81:F81"/>
    <mergeCell ref="Q79:T79"/>
    <mergeCell ref="Q78:T78"/>
    <mergeCell ref="T92:U92"/>
    <mergeCell ref="Z70:AA70"/>
    <mergeCell ref="AB70:AC70"/>
    <mergeCell ref="R86:U86"/>
    <mergeCell ref="F84:S84"/>
    <mergeCell ref="V86:Y86"/>
    <mergeCell ref="Z86:AC86"/>
    <mergeCell ref="AB73:AC73"/>
    <mergeCell ref="G77:P77"/>
    <mergeCell ref="G78:P78"/>
    <mergeCell ref="B78:F78"/>
    <mergeCell ref="Z72:AA72"/>
    <mergeCell ref="AB72:AC72"/>
    <mergeCell ref="Z71:AA71"/>
    <mergeCell ref="Z74:AA74"/>
    <mergeCell ref="X71:Y71"/>
    <mergeCell ref="T95:U95"/>
    <mergeCell ref="B79:F79"/>
    <mergeCell ref="U79:AC79"/>
    <mergeCell ref="A36:AC36"/>
    <mergeCell ref="B41:AC41"/>
    <mergeCell ref="B51:E51"/>
    <mergeCell ref="B37:AC37"/>
    <mergeCell ref="AB71:AC71"/>
    <mergeCell ref="U77:AC77"/>
    <mergeCell ref="B44:AC44"/>
    <mergeCell ref="Z45:AC45"/>
    <mergeCell ref="V45:Y45"/>
    <mergeCell ref="V46:Y46"/>
    <mergeCell ref="R45:U45"/>
    <mergeCell ref="R46:U46"/>
    <mergeCell ref="N45:Q45"/>
    <mergeCell ref="B38:E38"/>
    <mergeCell ref="F38:I38"/>
    <mergeCell ref="B39:E39"/>
    <mergeCell ref="F39:I39"/>
    <mergeCell ref="J38:M38"/>
    <mergeCell ref="B89:AC90"/>
    <mergeCell ref="B88:AC88"/>
    <mergeCell ref="B86:E86"/>
    <mergeCell ref="N86:Q86"/>
    <mergeCell ref="N46:Q46"/>
    <mergeCell ref="B55:F55"/>
    <mergeCell ref="A61:AC61"/>
    <mergeCell ref="A54:AD54"/>
    <mergeCell ref="A58:AD58"/>
    <mergeCell ref="Z57:AA57"/>
    <mergeCell ref="AB57:AC57"/>
    <mergeCell ref="F86:I86"/>
    <mergeCell ref="J86:M86"/>
    <mergeCell ref="AB60:AC60"/>
    <mergeCell ref="Z60:AA60"/>
    <mergeCell ref="Q77:T77"/>
    <mergeCell ref="U78:AC78"/>
    <mergeCell ref="AB74:AC74"/>
    <mergeCell ref="Z73:AA73"/>
    <mergeCell ref="G79:P79"/>
    <mergeCell ref="B77:F77"/>
    <mergeCell ref="X74:Y74"/>
    <mergeCell ref="B84:E84"/>
    <mergeCell ref="B71:E71"/>
    <mergeCell ref="Z62:AA62"/>
    <mergeCell ref="B72:E72"/>
    <mergeCell ref="B73:E73"/>
    <mergeCell ref="F26:N26"/>
    <mergeCell ref="O2:P2"/>
    <mergeCell ref="O3:P3"/>
    <mergeCell ref="O4:P4"/>
    <mergeCell ref="O5:P5"/>
    <mergeCell ref="X2:AC2"/>
    <mergeCell ref="X3:AC3"/>
    <mergeCell ref="X4:AC4"/>
    <mergeCell ref="X5:AC5"/>
    <mergeCell ref="V2:W2"/>
    <mergeCell ref="V3:W3"/>
    <mergeCell ref="V4:W4"/>
    <mergeCell ref="V5:W5"/>
    <mergeCell ref="Q2:U2"/>
    <mergeCell ref="Q3:U3"/>
    <mergeCell ref="Q4:U4"/>
    <mergeCell ref="Q5:U5"/>
    <mergeCell ref="J21:M21"/>
    <mergeCell ref="J22:M22"/>
    <mergeCell ref="O25:AC25"/>
    <mergeCell ref="O26:AC26"/>
    <mergeCell ref="R10:AC10"/>
    <mergeCell ref="R11:AC11"/>
    <mergeCell ref="R12:AC12"/>
    <mergeCell ref="N18:Q18"/>
    <mergeCell ref="N19:Q19"/>
    <mergeCell ref="P15:Q15"/>
    <mergeCell ref="R14:AC14"/>
    <mergeCell ref="D15:O15"/>
    <mergeCell ref="D14:O14"/>
    <mergeCell ref="D11:O11"/>
    <mergeCell ref="D10:O10"/>
    <mergeCell ref="Z18:AC18"/>
    <mergeCell ref="Z19:AC19"/>
    <mergeCell ref="P14:Q14"/>
    <mergeCell ref="P12:Q12"/>
    <mergeCell ref="B17:AC17"/>
    <mergeCell ref="F18:I18"/>
    <mergeCell ref="F19:I19"/>
    <mergeCell ref="J18:M18"/>
    <mergeCell ref="J19:M19"/>
  </mergeCells>
  <phoneticPr fontId="3" type="noConversion"/>
  <printOptions horizontalCentered="1"/>
  <pageMargins left="0.5" right="0.5" top="0.5" bottom="0.5" header="0.25" footer="0.25"/>
  <pageSetup orientation="portrait" horizontalDpi="4294967292" verticalDpi="4294967292"/>
  <headerFooter>
    <oddHeader>&amp;L&amp;"Lucida Grande,Bold"&amp;K000000&amp;G&amp;C&amp;"Menlo Regular,Regular"&amp;6&amp;K000000★★★&amp;"-,Bold" STAPLE ITEMIZED RECEIPT HERE&amp;"-,Regular" &amp;"Menlo Regular,Regular"★★★&amp;"-,Bold" STAPLE ITEMIZED RECEIPT HERE &amp;"Calibri Bold,Bold" &amp;"Menlo Regular,Bold"★★★</oddHeader>
    <oddFooter>&amp;R&amp;6&amp;K000000Printed: &amp;D, &amp;T - Page &amp;P of &amp;N</oddFooter>
  </headerFooter>
  <rowBreaks count="3" manualBreakCount="3">
    <brk id="49" max="16383" man="1"/>
    <brk id="64" max="16383" man="1"/>
    <brk id="105" max="16383" man="1"/>
  </rowBreaks>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45" r:id="rId4" name="Drop Down 21">
              <controlPr defaultSize="0" print="0" autoLine="0" autoPict="0">
                <anchor>
                  <from>
                    <xdr:col>1</xdr:col>
                    <xdr:colOff>38100</xdr:colOff>
                    <xdr:row>38</xdr:row>
                    <xdr:rowOff>0</xdr:rowOff>
                  </from>
                  <to>
                    <xdr:col>5</xdr:col>
                    <xdr:colOff>25400</xdr:colOff>
                    <xdr:row>39</xdr:row>
                    <xdr:rowOff>12700</xdr:rowOff>
                  </to>
                </anchor>
              </controlPr>
            </control>
          </mc:Choice>
          <mc:Fallback/>
        </mc:AlternateContent>
        <mc:AlternateContent xmlns:mc="http://schemas.openxmlformats.org/markup-compatibility/2006">
          <mc:Choice Requires="x14">
            <control shapeId="1055" r:id="rId5" name="Scroll Bar 31">
              <controlPr defaultSize="0" print="0" autoPict="0">
                <anchor moveWithCells="1">
                  <from>
                    <xdr:col>20</xdr:col>
                    <xdr:colOff>215900</xdr:colOff>
                    <xdr:row>23</xdr:row>
                    <xdr:rowOff>12700</xdr:rowOff>
                  </from>
                  <to>
                    <xdr:col>29</xdr:col>
                    <xdr:colOff>38100</xdr:colOff>
                    <xdr:row>23</xdr:row>
                    <xdr:rowOff>203200</xdr:rowOff>
                  </to>
                </anchor>
              </controlPr>
            </control>
          </mc:Choice>
          <mc:Fallback/>
        </mc:AlternateContent>
        <mc:AlternateContent xmlns:mc="http://schemas.openxmlformats.org/markup-compatibility/2006">
          <mc:Choice Requires="x14">
            <control shapeId="1056" r:id="rId6" name="Drop Down 32">
              <controlPr defaultSize="0" print="0" autoLine="0" autoPict="0">
                <anchor>
                  <from>
                    <xdr:col>13</xdr:col>
                    <xdr:colOff>12700</xdr:colOff>
                    <xdr:row>20</xdr:row>
                    <xdr:rowOff>215900</xdr:rowOff>
                  </from>
                  <to>
                    <xdr:col>16</xdr:col>
                    <xdr:colOff>241300</xdr:colOff>
                    <xdr:row>22</xdr:row>
                    <xdr:rowOff>12700</xdr:rowOff>
                  </to>
                </anchor>
              </controlPr>
            </control>
          </mc:Choice>
          <mc:Fallback/>
        </mc:AlternateContent>
        <mc:AlternateContent xmlns:mc="http://schemas.openxmlformats.org/markup-compatibility/2006">
          <mc:Choice Requires="x14">
            <control shapeId="1057" r:id="rId7" name="Drop Down 33">
              <controlPr defaultSize="0" print="0" autoLine="0" autoPict="0">
                <anchor>
                  <from>
                    <xdr:col>17</xdr:col>
                    <xdr:colOff>25400</xdr:colOff>
                    <xdr:row>20</xdr:row>
                    <xdr:rowOff>215900</xdr:rowOff>
                  </from>
                  <to>
                    <xdr:col>20</xdr:col>
                    <xdr:colOff>228600</xdr:colOff>
                    <xdr:row>22</xdr:row>
                    <xdr:rowOff>12700</xdr:rowOff>
                  </to>
                </anchor>
              </controlPr>
            </control>
          </mc:Choice>
          <mc:Fallback/>
        </mc:AlternateContent>
        <mc:AlternateContent xmlns:mc="http://schemas.openxmlformats.org/markup-compatibility/2006">
          <mc:Choice Requires="x14">
            <control shapeId="1058" r:id="rId8" name="Drop Down 34">
              <controlPr defaultSize="0" print="0" autoLine="0" autoPict="0">
                <anchor>
                  <from>
                    <xdr:col>21</xdr:col>
                    <xdr:colOff>12700</xdr:colOff>
                    <xdr:row>20</xdr:row>
                    <xdr:rowOff>203200</xdr:rowOff>
                  </from>
                  <to>
                    <xdr:col>24</xdr:col>
                    <xdr:colOff>228600</xdr:colOff>
                    <xdr:row>21</xdr:row>
                    <xdr:rowOff>215900</xdr:rowOff>
                  </to>
                </anchor>
              </controlPr>
            </control>
          </mc:Choice>
          <mc:Fallback/>
        </mc:AlternateContent>
        <mc:AlternateContent xmlns:mc="http://schemas.openxmlformats.org/markup-compatibility/2006">
          <mc:Choice Requires="x14">
            <control shapeId="1059" r:id="rId9" name="Drop Down 35">
              <controlPr defaultSize="0" print="0" autoLine="0" autoPict="0">
                <anchor>
                  <from>
                    <xdr:col>25</xdr:col>
                    <xdr:colOff>12700</xdr:colOff>
                    <xdr:row>17</xdr:row>
                    <xdr:rowOff>215900</xdr:rowOff>
                  </from>
                  <to>
                    <xdr:col>28</xdr:col>
                    <xdr:colOff>241300</xdr:colOff>
                    <xdr:row>19</xdr:row>
                    <xdr:rowOff>12700</xdr:rowOff>
                  </to>
                </anchor>
              </controlPr>
            </control>
          </mc:Choice>
          <mc:Fallback/>
        </mc:AlternateContent>
        <mc:AlternateContent xmlns:mc="http://schemas.openxmlformats.org/markup-compatibility/2006">
          <mc:Choice Requires="x14">
            <control shapeId="1060" r:id="rId10" name="Drop Down 36">
              <controlPr defaultSize="0" print="0" autoLine="0" autoPict="0">
                <anchor>
                  <from>
                    <xdr:col>17</xdr:col>
                    <xdr:colOff>25400</xdr:colOff>
                    <xdr:row>18</xdr:row>
                    <xdr:rowOff>0</xdr:rowOff>
                  </from>
                  <to>
                    <xdr:col>21</xdr:col>
                    <xdr:colOff>0</xdr:colOff>
                    <xdr:row>19</xdr:row>
                    <xdr:rowOff>12700</xdr:rowOff>
                  </to>
                </anchor>
              </controlPr>
            </control>
          </mc:Choice>
          <mc:Fallback/>
        </mc:AlternateContent>
        <mc:AlternateContent xmlns:mc="http://schemas.openxmlformats.org/markup-compatibility/2006">
          <mc:Choice Requires="x14">
            <control shapeId="1061" r:id="rId11" name="Drop Down 37">
              <controlPr defaultSize="0" print="0" autoLine="0" autoPict="0">
                <anchor>
                  <from>
                    <xdr:col>21</xdr:col>
                    <xdr:colOff>38100</xdr:colOff>
                    <xdr:row>18</xdr:row>
                    <xdr:rowOff>0</xdr:rowOff>
                  </from>
                  <to>
                    <xdr:col>24</xdr:col>
                    <xdr:colOff>241300</xdr:colOff>
                    <xdr:row>19</xdr:row>
                    <xdr:rowOff>12700</xdr:rowOff>
                  </to>
                </anchor>
              </controlPr>
            </control>
          </mc:Choice>
          <mc:Fallback/>
        </mc:AlternateContent>
        <mc:AlternateContent xmlns:mc="http://schemas.openxmlformats.org/markup-compatibility/2006">
          <mc:Choice Requires="x14">
            <control shapeId="1062" r:id="rId12" name="Drop Down 38">
              <controlPr defaultSize="0" print="0" autoLine="0" autoPict="0">
                <anchor>
                  <from>
                    <xdr:col>13</xdr:col>
                    <xdr:colOff>12700</xdr:colOff>
                    <xdr:row>18</xdr:row>
                    <xdr:rowOff>0</xdr:rowOff>
                  </from>
                  <to>
                    <xdr:col>17</xdr:col>
                    <xdr:colOff>25400</xdr:colOff>
                    <xdr:row>20</xdr:row>
                    <xdr:rowOff>0</xdr:rowOff>
                  </to>
                </anchor>
              </controlPr>
            </control>
          </mc:Choice>
          <mc:Fallback/>
        </mc:AlternateContent>
      </controls>
    </mc:Choice>
    <mc:Fallback/>
  </mc:AlternateContent>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theme="2"/>
  </sheetPr>
  <dimension ref="A1:EQ118"/>
  <sheetViews>
    <sheetView view="pageLayout" zoomScale="150" workbookViewId="0">
      <selection activeCell="F23" sqref="F23:AC23"/>
    </sheetView>
  </sheetViews>
  <sheetFormatPr baseColWidth="10" defaultRowHeight="12" customHeight="1" x14ac:dyDescent="0"/>
  <cols>
    <col min="1" max="1" width="0.6640625" style="12" customWidth="1"/>
    <col min="2" max="6" width="3.1640625" style="62" customWidth="1"/>
    <col min="7" max="29" width="3.1640625" style="12" customWidth="1"/>
    <col min="30" max="30" width="0.5" style="12" customWidth="1"/>
    <col min="31" max="38" width="10.83203125" style="10"/>
    <col min="39" max="16384" width="10.83203125" style="12"/>
  </cols>
  <sheetData>
    <row r="1" spans="1:147" ht="7" customHeight="1">
      <c r="A1" s="874" t="str">
        <f>R2</f>
        <v>160621LRTCC</v>
      </c>
      <c r="B1" s="874"/>
      <c r="C1" s="874"/>
      <c r="D1" s="874"/>
      <c r="E1" s="874"/>
      <c r="F1" s="874"/>
      <c r="G1" s="874"/>
      <c r="H1" s="874"/>
      <c r="I1" s="874"/>
      <c r="J1" s="874"/>
      <c r="K1" s="874"/>
      <c r="L1" s="874"/>
      <c r="M1" s="874"/>
      <c r="N1" s="874"/>
      <c r="O1" s="874"/>
      <c r="P1" s="874"/>
      <c r="Q1" s="874"/>
      <c r="R1" s="874"/>
      <c r="S1" s="874"/>
      <c r="T1" s="874"/>
      <c r="U1" s="874"/>
      <c r="V1" s="874"/>
      <c r="W1" s="874"/>
      <c r="X1" s="874"/>
      <c r="Y1" s="874"/>
      <c r="Z1" s="874"/>
      <c r="AA1" s="874"/>
      <c r="AB1" s="874"/>
      <c r="AC1" s="874"/>
      <c r="AD1" s="874"/>
    </row>
    <row r="2" spans="1:147" ht="14" customHeight="1">
      <c r="B2" s="12"/>
      <c r="C2" s="12"/>
      <c r="D2" s="12"/>
      <c r="E2" s="12"/>
      <c r="F2" s="12"/>
      <c r="G2" s="106" t="s">
        <v>237</v>
      </c>
      <c r="I2" s="17"/>
      <c r="J2" s="17"/>
      <c r="K2" s="17"/>
      <c r="L2" s="17"/>
      <c r="P2" s="1026" t="s">
        <v>141</v>
      </c>
      <c r="Q2" s="1027"/>
      <c r="R2" s="1022" t="str">
        <f>IF((COUNT(AGREEMENT!B22,AGREEMENT!B25:AA25))&gt;1,"S-"&amp;IF(AGREEMENT!$B22&gt;0,(CONCATENATE(TEXT('FACT 1'!$B$102,"yymmdd"),'FACT 1'!$F$102,'FACT 1'!$AC$102,AGREEMENT!Z126))," "),IF(AGREEMENT!$B22&gt;0,(CONCATENATE(TEXT('FACT 1'!$B$102,"yymmdd"),'FACT 1'!$F$102,'FACT 1'!$AC$102,AGREEMENT!Z126)),""))</f>
        <v>160621LRTCC</v>
      </c>
      <c r="S2" s="1022"/>
      <c r="T2" s="1022"/>
      <c r="U2" s="1022"/>
      <c r="V2" s="1021" t="s">
        <v>231</v>
      </c>
      <c r="W2" s="1021"/>
      <c r="X2" s="1018" t="str">
        <f>IF('FACT 1'!F19&gt;-1,(TEXT('FACT 1'!F19,"h:mm am/pm"))&amp;" to "&amp;(TEXT('FACT 1'!J19,"h:mm am/pm")),"")</f>
        <v>12:30 PM to 3:30 PM</v>
      </c>
      <c r="Y2" s="1018"/>
      <c r="Z2" s="1018"/>
      <c r="AA2" s="1018"/>
      <c r="AB2" s="1018"/>
      <c r="AC2" s="1019"/>
    </row>
    <row r="3" spans="1:147" ht="14" customHeight="1">
      <c r="G3" s="106" t="s">
        <v>238</v>
      </c>
      <c r="I3" s="17"/>
      <c r="J3" s="17"/>
      <c r="K3" s="17"/>
      <c r="L3" s="17"/>
      <c r="P3" s="1024" t="s">
        <v>143</v>
      </c>
      <c r="Q3" s="805"/>
      <c r="R3" s="810" t="str">
        <f>IF(AGREEMENT!Y126=5,"UCLA purchase order",IF(AGREEMENT!Y126=4,"house account",IF(AGREEMENT!Y126=3,"credit card auth (attached)",IF(AGREEMENT!Y126=2,"credit card",IF(AGREEMENT!Y126=1,"approved check","")))))</f>
        <v>credit card</v>
      </c>
      <c r="S3" s="810"/>
      <c r="T3" s="810"/>
      <c r="U3" s="810"/>
      <c r="V3" s="812" t="s">
        <v>230</v>
      </c>
      <c r="W3" s="812"/>
      <c r="X3" s="806" t="str">
        <f>IF('FACT 1'!Z19&gt;0,'FACT 1'!Z19&amp;" ("&amp;TEXT('FACT 1'!J22,".0")&amp;" hrs)","missing event space")</f>
        <v>rotunda (3.0 hrs)</v>
      </c>
      <c r="Y3" s="806"/>
      <c r="Z3" s="806"/>
      <c r="AA3" s="806"/>
      <c r="AB3" s="806"/>
      <c r="AC3" s="1020"/>
    </row>
    <row r="4" spans="1:147" ht="14" customHeight="1">
      <c r="G4" s="106" t="s">
        <v>239</v>
      </c>
      <c r="I4" s="17"/>
      <c r="J4" s="17"/>
      <c r="K4" s="17"/>
      <c r="L4" s="17"/>
      <c r="P4" s="1025" t="s">
        <v>142</v>
      </c>
      <c r="Q4" s="803"/>
      <c r="R4" s="810" t="str">
        <f>IF(AGREEMENT!J29&gt;0,
IF('FACT 1'!Y92=1,
IF('FACT 1'!Z39&gt;0,
"$"&amp;AGREEMENT!J29&amp;" on table #"&amp;'FACT 1'!Z39,
"$"&amp;AGREEMENT!J29&amp;", on table ???"),
"$"&amp;AGREEMENT!J29&amp;", not processed"),
"none")</f>
        <v>$150, not processed</v>
      </c>
      <c r="S4" s="810"/>
      <c r="T4" s="810"/>
      <c r="U4" s="810"/>
      <c r="V4" s="812" t="s">
        <v>97</v>
      </c>
      <c r="W4" s="812"/>
      <c r="X4" s="810" t="str">
        <f>CONCATENATE(AGREEMENT!J22,", ",'FACT 1'!V19)</f>
        <v>semi-private, casual</v>
      </c>
      <c r="Y4" s="810"/>
      <c r="Z4" s="810"/>
      <c r="AA4" s="810"/>
      <c r="AB4" s="810"/>
      <c r="AC4" s="1036"/>
    </row>
    <row r="5" spans="1:147" ht="14" customHeight="1">
      <c r="G5" s="28" t="s">
        <v>240</v>
      </c>
      <c r="I5" s="51"/>
      <c r="J5" s="51"/>
      <c r="K5" s="17"/>
      <c r="L5" s="17"/>
      <c r="P5" s="1028" t="s">
        <v>104</v>
      </c>
      <c r="Q5" s="1029"/>
      <c r="R5" s="1023" t="str">
        <f>IF('FACT 1'!K43&gt;0,"$"&amp;'FACT 1'!K43&amp;" +tax/service","unknown")</f>
        <v>$800 +tax/service</v>
      </c>
      <c r="S5" s="1023"/>
      <c r="T5" s="1023"/>
      <c r="U5" s="1023"/>
      <c r="V5" s="1039" t="s">
        <v>144</v>
      </c>
      <c r="W5" s="1039"/>
      <c r="X5" s="1037" t="str">
        <f>IF('FACT 1'!$V$22&gt;0,
IF('FACT 1'!$R$22&lt;0,"f: "&amp;'FACT 1'!$V$22&amp;" | b: none","f: "&amp;'FACT 1'!$V$22&amp;" | b: "&amp;'FACT 1'!$R$22), IF('FACT 1'!$R$22&lt;0,"f: none | b: none",
"f: none | b: "&amp;'FACT 1'!$R$22))</f>
        <v>f: plated | b: none</v>
      </c>
      <c r="Y5" s="1037"/>
      <c r="Z5" s="1037"/>
      <c r="AA5" s="1037"/>
      <c r="AB5" s="1037"/>
      <c r="AC5" s="1038"/>
    </row>
    <row r="6" spans="1:147" ht="5" customHeight="1">
      <c r="A6" s="957"/>
      <c r="B6" s="485"/>
      <c r="C6" s="485"/>
      <c r="D6" s="485"/>
      <c r="E6" s="485"/>
      <c r="F6" s="485"/>
      <c r="G6" s="485"/>
      <c r="H6" s="485"/>
      <c r="I6" s="485"/>
      <c r="J6" s="485"/>
      <c r="K6" s="485"/>
      <c r="L6" s="485"/>
      <c r="M6" s="485"/>
      <c r="N6" s="485"/>
      <c r="O6" s="485"/>
      <c r="P6" s="485"/>
      <c r="Q6" s="485"/>
      <c r="R6" s="485"/>
      <c r="S6" s="485"/>
      <c r="T6" s="485"/>
      <c r="U6" s="485"/>
      <c r="V6" s="485"/>
      <c r="W6" s="485"/>
      <c r="X6" s="485"/>
      <c r="Y6" s="485"/>
      <c r="Z6" s="485"/>
      <c r="AA6" s="485"/>
      <c r="AB6" s="485"/>
      <c r="AC6" s="485"/>
      <c r="AD6" s="485"/>
    </row>
    <row r="7" spans="1:147" s="10" customFormat="1" ht="18" customHeight="1">
      <c r="A7" s="74"/>
      <c r="B7" s="837" t="s">
        <v>170</v>
      </c>
      <c r="C7" s="838"/>
      <c r="D7" s="838"/>
      <c r="E7" s="838"/>
      <c r="F7" s="838"/>
      <c r="G7" s="1032" t="str">
        <f>IF(AGREEMENT!$D$13&gt;0,
(IF(AGREEMENT!$Q$13&gt;0,
("  "&amp;AGREEMENT!$D$13&amp;" ("&amp;AGREEMENT!$Q$13&amp;")"),
"  "&amp;AGREEMENT!$D$13&amp;""))," "&amp;AGREEMENT!$Q$13)</f>
        <v xml:space="preserve"> </v>
      </c>
      <c r="H7" s="1032"/>
      <c r="I7" s="1032"/>
      <c r="J7" s="1032"/>
      <c r="K7" s="1032"/>
      <c r="L7" s="1032"/>
      <c r="M7" s="1032"/>
      <c r="N7" s="1032"/>
      <c r="O7" s="1032"/>
      <c r="P7" s="1032"/>
      <c r="Q7" s="1032"/>
      <c r="R7" s="1032"/>
      <c r="S7" s="1032"/>
      <c r="T7" s="1032"/>
      <c r="U7" s="923" t="str">
        <f>IF(AGREEMENT!$B$22&gt;0,CONCATENATE((TEXT(AGREEMENT!$B$22,"DDDD"))&amp;", "&amp;(TEXT(AGREEMENT!$B$22,"MMMM"))&amp;" "&amp;(TEXT(AGREEMENT!$B$22,"d"))&amp;", "&amp;(TEXT(AGREEMENT!$B$22,"yyyy"))&amp;" @ "&amp;(TEXT(AGREEMENT!I22,"h:mm am/pm"))),"")</f>
        <v>Tuesday, June 21, 2016 @ 12:00 AM</v>
      </c>
      <c r="V7" s="923"/>
      <c r="W7" s="923"/>
      <c r="X7" s="923"/>
      <c r="Y7" s="923"/>
      <c r="Z7" s="923"/>
      <c r="AA7" s="923"/>
      <c r="AB7" s="923"/>
      <c r="AC7" s="924"/>
    </row>
    <row r="8" spans="1:147" ht="4" customHeight="1">
      <c r="A8" s="420"/>
      <c r="B8" s="420"/>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10"/>
      <c r="AD8" s="10"/>
      <c r="AJ8" s="12"/>
      <c r="AK8" s="12"/>
      <c r="AL8" s="12"/>
    </row>
    <row r="9" spans="1:147" s="9" customFormat="1" ht="18" customHeight="1" thickBot="1">
      <c r="A9" s="87"/>
      <c r="B9" s="794" t="s">
        <v>317</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11"/>
      <c r="AE9" s="11"/>
      <c r="AF9" s="11"/>
      <c r="AG9" s="11"/>
      <c r="AH9" s="11"/>
      <c r="AI9" s="11"/>
    </row>
    <row r="10" spans="1:147" s="153" customFormat="1" ht="17" customHeight="1" thickTop="1">
      <c r="B10" s="911" t="s">
        <v>212</v>
      </c>
      <c r="C10" s="911"/>
      <c r="D10" s="911"/>
      <c r="E10" s="911"/>
      <c r="F10" s="949" t="s">
        <v>119</v>
      </c>
      <c r="G10" s="949"/>
      <c r="H10" s="949"/>
      <c r="I10" s="949"/>
      <c r="J10" s="911" t="s">
        <v>198</v>
      </c>
      <c r="K10" s="911"/>
      <c r="L10" s="911"/>
      <c r="M10" s="911"/>
      <c r="N10" s="911" t="s">
        <v>63</v>
      </c>
      <c r="O10" s="911"/>
      <c r="P10" s="911"/>
      <c r="Q10" s="911"/>
      <c r="R10" s="783" t="s">
        <v>62</v>
      </c>
      <c r="S10" s="783"/>
      <c r="T10" s="783"/>
      <c r="U10" s="783"/>
      <c r="V10" s="783" t="s">
        <v>96</v>
      </c>
      <c r="W10" s="783"/>
      <c r="X10" s="783"/>
      <c r="Y10" s="783"/>
      <c r="Z10" s="783" t="s">
        <v>364</v>
      </c>
      <c r="AA10" s="783"/>
      <c r="AB10" s="783"/>
      <c r="AC10" s="783"/>
      <c r="AD10" s="38"/>
    </row>
    <row r="11" spans="1:147" s="98" customFormat="1" ht="17" customHeight="1">
      <c r="B11" s="854" t="str">
        <f>IF(AGREEMENT!B19&gt;0,"event 1 of "&amp;(COUNT(AGREEMENT!B16,AGREEMENT!B19:AA19)),"single event")</f>
        <v>single event</v>
      </c>
      <c r="C11" s="854"/>
      <c r="D11" s="854"/>
      <c r="E11" s="854"/>
      <c r="F11" s="991" t="str">
        <f>CONCATENATE(AGREEMENT!J22,", ",'FACT 1'!V19)</f>
        <v>semi-private, casual</v>
      </c>
      <c r="G11" s="992"/>
      <c r="H11" s="992"/>
      <c r="I11" s="993"/>
      <c r="J11" s="961" t="str">
        <f>AGREEMENT!$P$22</f>
        <v>undecided</v>
      </c>
      <c r="K11" s="961"/>
      <c r="L11" s="961"/>
      <c r="M11" s="961"/>
      <c r="N11" s="854" t="str">
        <f>AGREEMENT!$S$22</f>
        <v>none</v>
      </c>
      <c r="O11" s="854"/>
      <c r="P11" s="854"/>
      <c r="Q11" s="854"/>
      <c r="R11" s="854" t="str">
        <f>AGREEMENT!$V$22</f>
        <v>plated</v>
      </c>
      <c r="S11" s="854"/>
      <c r="T11" s="854"/>
      <c r="U11" s="854"/>
      <c r="V11" s="854" t="str">
        <f>AGREEMENT!$Y$22</f>
        <v>rotunda</v>
      </c>
      <c r="W11" s="854"/>
      <c r="X11" s="854"/>
      <c r="Y11" s="854"/>
      <c r="Z11" s="854" t="str">
        <f>AGREEMENT!U43</f>
        <v>JJ Weiner</v>
      </c>
      <c r="AA11" s="854"/>
      <c r="AB11" s="854"/>
      <c r="AC11" s="854"/>
    </row>
    <row r="12" spans="1:147" ht="2" customHeight="1">
      <c r="B12" s="994"/>
      <c r="C12" s="994"/>
      <c r="D12" s="994"/>
      <c r="E12" s="994"/>
      <c r="F12" s="994"/>
      <c r="G12" s="994"/>
      <c r="H12" s="994"/>
      <c r="I12" s="994"/>
      <c r="J12" s="994"/>
      <c r="K12" s="994"/>
      <c r="L12" s="994"/>
      <c r="M12" s="994"/>
      <c r="N12" s="994"/>
      <c r="O12" s="994"/>
      <c r="P12" s="994"/>
      <c r="Q12" s="994"/>
      <c r="R12" s="994"/>
      <c r="S12" s="994"/>
      <c r="T12" s="994"/>
      <c r="U12" s="994"/>
      <c r="V12" s="994"/>
      <c r="W12" s="994"/>
      <c r="X12" s="994"/>
      <c r="Y12" s="994"/>
      <c r="Z12" s="994"/>
      <c r="AA12" s="994"/>
      <c r="AB12" s="117"/>
      <c r="AD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row>
    <row r="13" spans="1:147" s="85" customFormat="1" ht="16" customHeight="1">
      <c r="A13" s="84"/>
      <c r="B13" s="1033" t="s">
        <v>326</v>
      </c>
      <c r="C13" s="1033"/>
      <c r="D13" s="1033" t="s">
        <v>213</v>
      </c>
      <c r="E13" s="1033"/>
      <c r="F13" s="1033" t="s">
        <v>214</v>
      </c>
      <c r="G13" s="1033"/>
      <c r="H13" s="1033" t="s">
        <v>215</v>
      </c>
      <c r="I13" s="1033"/>
      <c r="J13" s="1033" t="s">
        <v>216</v>
      </c>
      <c r="K13" s="1033"/>
      <c r="L13" s="1033" t="s">
        <v>217</v>
      </c>
      <c r="M13" s="1033"/>
      <c r="N13" s="1033" t="s">
        <v>218</v>
      </c>
      <c r="O13" s="1034"/>
      <c r="P13" s="1033" t="s">
        <v>219</v>
      </c>
      <c r="Q13" s="1033"/>
      <c r="R13" s="1033" t="s">
        <v>220</v>
      </c>
      <c r="S13" s="1033"/>
      <c r="T13" s="1033" t="s">
        <v>221</v>
      </c>
      <c r="U13" s="1033"/>
      <c r="V13" s="1033" t="s">
        <v>222</v>
      </c>
      <c r="W13" s="1033"/>
      <c r="X13" s="1033" t="s">
        <v>223</v>
      </c>
      <c r="Y13" s="1033"/>
      <c r="Z13" s="1033" t="s">
        <v>234</v>
      </c>
      <c r="AA13" s="1033"/>
      <c r="AB13" s="1033" t="s">
        <v>235</v>
      </c>
      <c r="AC13" s="1033"/>
    </row>
    <row r="14" spans="1:147" s="10" customFormat="1" ht="18" customHeight="1">
      <c r="A14" s="74"/>
      <c r="B14" s="1030">
        <f>AGREEMENT!B22</f>
        <v>42542</v>
      </c>
      <c r="C14" s="1030"/>
      <c r="D14" s="1031"/>
      <c r="E14" s="1031"/>
      <c r="F14" s="1031"/>
      <c r="G14" s="1031"/>
      <c r="H14" s="1031"/>
      <c r="I14" s="1031"/>
      <c r="J14" s="1031"/>
      <c r="K14" s="1031"/>
      <c r="L14" s="1031"/>
      <c r="M14" s="1031"/>
      <c r="N14" s="1031"/>
      <c r="O14" s="1031"/>
      <c r="P14" s="1031"/>
      <c r="Q14" s="1031"/>
      <c r="R14" s="1031"/>
      <c r="S14" s="1031"/>
      <c r="T14" s="1031"/>
      <c r="U14" s="1031"/>
      <c r="V14" s="1031"/>
      <c r="W14" s="1031"/>
      <c r="X14" s="1031"/>
      <c r="Y14" s="1031"/>
      <c r="Z14" s="1031"/>
      <c r="AA14" s="1031"/>
      <c r="AB14" s="1031"/>
      <c r="AC14" s="1031"/>
      <c r="AD14" s="127"/>
      <c r="AE14" s="128"/>
    </row>
    <row r="15" spans="1:147" s="10" customFormat="1" ht="5" customHeight="1">
      <c r="A15" s="466"/>
      <c r="B15" s="1035"/>
      <c r="C15" s="1035"/>
      <c r="D15" s="1035"/>
      <c r="E15" s="1035"/>
      <c r="F15" s="1035"/>
      <c r="G15" s="1035"/>
      <c r="H15" s="1035"/>
      <c r="I15" s="1035"/>
      <c r="J15" s="1035"/>
      <c r="K15" s="1035"/>
      <c r="L15" s="1035"/>
      <c r="M15" s="1035"/>
      <c r="N15" s="1035"/>
      <c r="O15" s="1035"/>
      <c r="P15" s="1035"/>
      <c r="Q15" s="1035"/>
      <c r="R15" s="1035"/>
      <c r="S15" s="1035"/>
      <c r="T15" s="1035"/>
      <c r="U15" s="1035"/>
      <c r="V15" s="1035"/>
      <c r="W15" s="1035"/>
      <c r="X15" s="1035"/>
      <c r="Y15" s="1035"/>
      <c r="Z15" s="1035"/>
      <c r="AA15" s="1035"/>
      <c r="AB15" s="466"/>
      <c r="AC15" s="466"/>
    </row>
    <row r="16" spans="1:147" s="9" customFormat="1" ht="18" customHeight="1" thickBot="1">
      <c r="A16" s="87"/>
      <c r="B16" s="794" t="s">
        <v>319</v>
      </c>
      <c r="C16" s="794"/>
      <c r="D16" s="794"/>
      <c r="E16" s="794"/>
      <c r="F16" s="794"/>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11"/>
      <c r="AE16" s="11"/>
      <c r="AF16" s="11"/>
      <c r="AG16" s="11"/>
      <c r="AH16" s="11"/>
      <c r="AI16" s="11"/>
    </row>
    <row r="17" spans="1:147" ht="17" customHeight="1" thickTop="1">
      <c r="A17" s="17"/>
      <c r="B17" s="974" t="s">
        <v>205</v>
      </c>
      <c r="C17" s="974"/>
      <c r="D17" s="974"/>
      <c r="E17" s="974"/>
      <c r="F17" s="974" t="s">
        <v>201</v>
      </c>
      <c r="G17" s="974"/>
      <c r="H17" s="974"/>
      <c r="I17" s="974"/>
      <c r="J17" s="974" t="s">
        <v>318</v>
      </c>
      <c r="K17" s="974"/>
      <c r="L17" s="974"/>
      <c r="M17" s="974"/>
      <c r="N17" s="943" t="s">
        <v>228</v>
      </c>
      <c r="O17" s="943"/>
      <c r="P17" s="943"/>
      <c r="Q17" s="943"/>
      <c r="R17" s="935" t="s">
        <v>209</v>
      </c>
      <c r="S17" s="935"/>
      <c r="T17" s="935"/>
      <c r="U17" s="935"/>
      <c r="V17" s="967" t="s">
        <v>295</v>
      </c>
      <c r="W17" s="968"/>
      <c r="X17" s="968"/>
      <c r="Y17" s="969"/>
      <c r="Z17" s="943" t="s">
        <v>296</v>
      </c>
      <c r="AA17" s="943"/>
      <c r="AB17" s="943"/>
      <c r="AC17" s="943"/>
      <c r="AD17" s="10"/>
      <c r="AJ17" s="12"/>
      <c r="AK17" s="12"/>
      <c r="AL17" s="12"/>
    </row>
    <row r="18" spans="1:147" ht="17" customHeight="1">
      <c r="A18" s="17"/>
      <c r="B18" s="962" t="str">
        <f>IF(AGREEMENT!$Y$126=1,AGREEMENT!$R$135,IF(AGREEMENT!$Y$126=2,AGREEMENT!$R$136,IF(AGREEMENT!$Y$126=3,AGREEMENT!$R$137,IF(AGREEMENT!$Y$126=4,AGREEMENT!$R$138,IF(AGREEMENT!$Y$126=5,AGREEMENT!$R$139)))))</f>
        <v>credit card</v>
      </c>
      <c r="C18" s="962"/>
      <c r="D18" s="962"/>
      <c r="E18" s="962"/>
      <c r="F18" s="855" t="str">
        <f>IF(AGREEMENT!J29&gt;0,"$"&amp;AGREEMENT!J29&amp;" ("&amp;AGREEMENT!F29&amp;")","")</f>
        <v>$150 (credit card)</v>
      </c>
      <c r="G18" s="855"/>
      <c r="H18" s="855"/>
      <c r="I18" s="855"/>
      <c r="J18" s="855" t="str">
        <f>IF(AGREEMENT!J29&gt;0,
IF('FACT 1'!Y92=1,
IF('FACT 1'!Z39&gt;0,
"paid (tbl #"&amp;'FACT 1'!Z39&amp;")",
"paid (tbl ?)"),
"not paid"),
"none")</f>
        <v>not paid</v>
      </c>
      <c r="K18" s="855"/>
      <c r="L18" s="855"/>
      <c r="M18" s="855"/>
      <c r="N18" s="961">
        <f>AGREEMENT!W29</f>
        <v>800</v>
      </c>
      <c r="O18" s="961"/>
      <c r="P18" s="961"/>
      <c r="Q18" s="961"/>
      <c r="R18" s="973" t="str">
        <f>(AGREEMENT!R29-'FACT 1'!P104)&amp;" guests"</f>
        <v>18 guests</v>
      </c>
      <c r="S18" s="973"/>
      <c r="T18" s="973"/>
      <c r="U18" s="973"/>
      <c r="V18" s="970">
        <f>AGREEMENT!N29</f>
        <v>0.22</v>
      </c>
      <c r="W18" s="971"/>
      <c r="X18" s="971"/>
      <c r="Y18" s="972"/>
      <c r="Z18" s="960">
        <f>'FACT 1'!W43:AC43</f>
        <v>0</v>
      </c>
      <c r="AA18" s="960"/>
      <c r="AB18" s="960"/>
      <c r="AC18" s="960"/>
      <c r="AD18" s="10"/>
      <c r="AJ18" s="12"/>
      <c r="AK18" s="12"/>
      <c r="AL18" s="12"/>
    </row>
    <row r="19" spans="1:147" s="1" customFormat="1" ht="2" customHeight="1">
      <c r="B19" s="851"/>
      <c r="C19" s="851"/>
      <c r="D19" s="851"/>
      <c r="E19" s="851"/>
      <c r="F19" s="851"/>
      <c r="G19" s="851"/>
      <c r="H19" s="851"/>
      <c r="I19" s="851"/>
      <c r="J19" s="851"/>
      <c r="K19" s="851"/>
      <c r="L19" s="851"/>
      <c r="M19" s="851"/>
      <c r="N19" s="851"/>
      <c r="O19" s="851"/>
      <c r="P19" s="851"/>
      <c r="Q19" s="851"/>
      <c r="R19" s="851"/>
      <c r="S19" s="851"/>
      <c r="T19" s="851"/>
      <c r="U19" s="851"/>
      <c r="V19" s="851"/>
      <c r="W19" s="851"/>
      <c r="X19" s="851"/>
      <c r="Y19" s="851"/>
      <c r="Z19" s="851"/>
      <c r="AA19" s="851"/>
    </row>
    <row r="20" spans="1:147" s="153" customFormat="1" ht="17" customHeight="1">
      <c r="B20" s="853" t="s">
        <v>291</v>
      </c>
      <c r="C20" s="853"/>
      <c r="D20" s="853"/>
      <c r="E20" s="853"/>
      <c r="F20" s="932" t="s">
        <v>292</v>
      </c>
      <c r="G20" s="932"/>
      <c r="H20" s="932"/>
      <c r="I20" s="932"/>
      <c r="J20" s="852" t="s">
        <v>19</v>
      </c>
      <c r="K20" s="852"/>
      <c r="L20" s="852"/>
      <c r="M20" s="852"/>
      <c r="N20" s="852" t="s">
        <v>210</v>
      </c>
      <c r="O20" s="852"/>
      <c r="P20" s="852"/>
      <c r="Q20" s="852"/>
      <c r="R20" s="853" t="s">
        <v>312</v>
      </c>
      <c r="S20" s="853"/>
      <c r="T20" s="853"/>
      <c r="U20" s="853"/>
      <c r="V20" s="853" t="s">
        <v>311</v>
      </c>
      <c r="W20" s="853"/>
      <c r="X20" s="853"/>
      <c r="Y20" s="853"/>
      <c r="Z20" s="852" t="s">
        <v>313</v>
      </c>
      <c r="AA20" s="852"/>
      <c r="AB20" s="852"/>
      <c r="AC20" s="852"/>
      <c r="AD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row>
    <row r="21" spans="1:147" s="129" customFormat="1" ht="17" customHeight="1">
      <c r="B21" s="999" t="str">
        <f>IF('FACT 1'!B$46&gt;0,'FACT 1'!B$46,"")</f>
        <v>$2.5/ea.</v>
      </c>
      <c r="C21" s="999"/>
      <c r="D21" s="999"/>
      <c r="E21" s="999"/>
      <c r="F21" s="966" t="str">
        <f>IF('FACT 1'!F46&gt;0,'FACT 1'!F46,"")</f>
        <v>$25/ea.</v>
      </c>
      <c r="G21" s="854"/>
      <c r="H21" s="854"/>
      <c r="I21" s="854"/>
      <c r="J21" s="961">
        <f>'FACT 1'!J46</f>
        <v>0</v>
      </c>
      <c r="K21" s="961"/>
      <c r="L21" s="961"/>
      <c r="M21" s="961"/>
      <c r="N21" s="961" t="str">
        <f>IF('FACT 1'!N46&gt;0,'FACT 1'!N46,"")</f>
        <v/>
      </c>
      <c r="O21" s="961"/>
      <c r="P21" s="961"/>
      <c r="Q21" s="961"/>
      <c r="R21" s="961" t="str">
        <f>IF('FACT 1'!R46&gt;0,'FACT 1'!R46,"")</f>
        <v/>
      </c>
      <c r="S21" s="961"/>
      <c r="T21" s="961"/>
      <c r="U21" s="961"/>
      <c r="V21" s="961" t="str">
        <f>IF('FACT 1'!V46&gt;0,'FACT 1'!V46,"")</f>
        <v>$35++</v>
      </c>
      <c r="W21" s="961"/>
      <c r="X21" s="961"/>
      <c r="Y21" s="961"/>
      <c r="Z21" s="961" t="str">
        <f>IF('FACT 1'!Z46&gt;0,'FACT 1'!Z46,"")</f>
        <v/>
      </c>
      <c r="AA21" s="961"/>
      <c r="AB21" s="961"/>
      <c r="AC21" s="961"/>
      <c r="AD21" s="130"/>
      <c r="AY21" s="130"/>
      <c r="AZ21" s="130"/>
      <c r="BA21" s="130"/>
      <c r="BB21" s="130"/>
      <c r="BC21" s="130"/>
      <c r="BD21" s="130"/>
      <c r="BE21" s="130"/>
      <c r="BF21" s="130"/>
      <c r="BG21" s="130"/>
      <c r="BH21" s="130"/>
      <c r="BI21" s="130"/>
      <c r="BJ21" s="130"/>
      <c r="BK21" s="130"/>
      <c r="BL21" s="130"/>
      <c r="BM21" s="130"/>
      <c r="BN21" s="130"/>
      <c r="BO21" s="130"/>
      <c r="BP21" s="130"/>
      <c r="BQ21" s="130"/>
      <c r="BR21" s="130"/>
      <c r="BS21" s="130"/>
      <c r="BT21" s="130"/>
      <c r="BU21" s="130"/>
      <c r="BV21" s="130"/>
      <c r="BW21" s="130"/>
      <c r="BX21" s="130"/>
      <c r="BY21" s="130"/>
      <c r="BZ21" s="130"/>
      <c r="CA21" s="130"/>
      <c r="CB21" s="130"/>
      <c r="CC21" s="130"/>
      <c r="CD21" s="130"/>
      <c r="CE21" s="130"/>
      <c r="CF21" s="130"/>
      <c r="CG21" s="130"/>
      <c r="CH21" s="130"/>
      <c r="CI21" s="130"/>
      <c r="CJ21" s="130"/>
      <c r="CK21" s="130"/>
      <c r="CL21" s="130"/>
      <c r="CM21" s="130"/>
      <c r="CN21" s="130"/>
      <c r="CO21" s="130"/>
      <c r="CP21" s="130"/>
      <c r="CQ21" s="130"/>
      <c r="CR21" s="130"/>
      <c r="CS21" s="130"/>
      <c r="CT21" s="130"/>
      <c r="CU21" s="130"/>
      <c r="CV21" s="130"/>
      <c r="CW21" s="130"/>
      <c r="CX21" s="130"/>
      <c r="CY21" s="130"/>
      <c r="CZ21" s="130"/>
      <c r="DA21" s="130"/>
      <c r="DB21" s="130"/>
      <c r="DC21" s="130"/>
      <c r="DD21" s="130"/>
      <c r="DE21" s="130"/>
      <c r="DF21" s="130"/>
      <c r="DG21" s="130"/>
      <c r="DH21" s="130"/>
      <c r="DI21" s="130"/>
      <c r="DJ21" s="130"/>
      <c r="DK21" s="130"/>
      <c r="DL21" s="130"/>
      <c r="DM21" s="130"/>
      <c r="DN21" s="130"/>
      <c r="DO21" s="130"/>
      <c r="DP21" s="130"/>
      <c r="DQ21" s="130"/>
      <c r="DR21" s="130"/>
      <c r="DS21" s="130"/>
      <c r="DT21" s="130"/>
      <c r="DU21" s="130"/>
      <c r="DV21" s="130"/>
      <c r="DW21" s="130"/>
      <c r="DX21" s="130"/>
      <c r="DY21" s="130"/>
      <c r="DZ21" s="130"/>
      <c r="EA21" s="130"/>
      <c r="EB21" s="130"/>
      <c r="EC21" s="130"/>
      <c r="ED21" s="130"/>
      <c r="EE21" s="130"/>
      <c r="EF21" s="130"/>
      <c r="EG21" s="130"/>
      <c r="EH21" s="130"/>
      <c r="EI21" s="130"/>
      <c r="EJ21" s="130"/>
      <c r="EK21" s="130"/>
      <c r="EL21" s="130"/>
      <c r="EM21" s="130"/>
      <c r="EN21" s="130"/>
      <c r="EO21" s="130"/>
      <c r="EP21" s="130"/>
      <c r="EQ21" s="130"/>
    </row>
    <row r="22" spans="1:147" s="1" customFormat="1" ht="2" customHeight="1">
      <c r="B22" s="990"/>
      <c r="C22" s="990"/>
      <c r="D22" s="990"/>
      <c r="E22" s="990"/>
      <c r="F22" s="990"/>
      <c r="G22" s="990"/>
      <c r="H22" s="990"/>
      <c r="I22" s="990"/>
      <c r="J22" s="990"/>
      <c r="K22" s="990"/>
      <c r="L22" s="990"/>
      <c r="M22" s="990"/>
      <c r="N22" s="990"/>
      <c r="O22" s="990"/>
      <c r="P22" s="990"/>
      <c r="Q22" s="990"/>
      <c r="R22" s="990"/>
      <c r="S22" s="990"/>
      <c r="T22" s="990"/>
      <c r="U22" s="990"/>
      <c r="V22" s="990"/>
      <c r="W22" s="990"/>
      <c r="X22" s="990"/>
      <c r="Y22" s="990"/>
      <c r="Z22" s="990"/>
      <c r="AA22" s="990"/>
    </row>
    <row r="23" spans="1:147" ht="40" customHeight="1">
      <c r="A23" s="17"/>
      <c r="B23" s="995" t="s">
        <v>320</v>
      </c>
      <c r="C23" s="995"/>
      <c r="D23" s="995"/>
      <c r="E23" s="995"/>
      <c r="F23" s="996" t="str">
        <f>IF('FACT 1'!F48&gt;0,'FACT 1'!F48,"")</f>
        <v>Balance due @ conclusion with credit card authorization</v>
      </c>
      <c r="G23" s="997"/>
      <c r="H23" s="997"/>
      <c r="I23" s="997"/>
      <c r="J23" s="997"/>
      <c r="K23" s="997"/>
      <c r="L23" s="997"/>
      <c r="M23" s="997"/>
      <c r="N23" s="997"/>
      <c r="O23" s="997"/>
      <c r="P23" s="997"/>
      <c r="Q23" s="997"/>
      <c r="R23" s="997"/>
      <c r="S23" s="997"/>
      <c r="T23" s="997"/>
      <c r="U23" s="997"/>
      <c r="V23" s="997"/>
      <c r="W23" s="997"/>
      <c r="X23" s="997"/>
      <c r="Y23" s="997"/>
      <c r="Z23" s="997"/>
      <c r="AA23" s="997"/>
      <c r="AB23" s="997"/>
      <c r="AC23" s="998"/>
      <c r="AD23" s="76"/>
      <c r="AE23" s="76"/>
      <c r="AF23" s="76"/>
      <c r="AG23" s="76"/>
      <c r="AH23" s="76"/>
      <c r="AI23" s="76"/>
      <c r="AJ23" s="12"/>
      <c r="AK23" s="12"/>
      <c r="AL23" s="12"/>
    </row>
    <row r="24" spans="1:147" s="10" customFormat="1" ht="5" customHeight="1">
      <c r="A24" s="899"/>
      <c r="B24" s="1016"/>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899"/>
      <c r="AA24" s="899"/>
      <c r="AB24" s="156"/>
      <c r="AC24" s="156"/>
    </row>
    <row r="25" spans="1:147" s="10" customFormat="1" ht="16" thickBot="1">
      <c r="A25" s="126"/>
      <c r="B25" s="1017" t="s">
        <v>236</v>
      </c>
      <c r="C25" s="1017"/>
      <c r="D25" s="1017"/>
      <c r="E25" s="1017"/>
      <c r="F25" s="1017"/>
      <c r="G25" s="1017"/>
      <c r="H25" s="1017"/>
      <c r="I25" s="1017"/>
      <c r="J25" s="1017"/>
      <c r="K25" s="1017"/>
      <c r="L25" s="1017"/>
      <c r="M25" s="1017"/>
      <c r="N25" s="1017"/>
      <c r="O25" s="1017"/>
      <c r="P25" s="1017"/>
      <c r="Q25" s="1017"/>
      <c r="R25" s="1017"/>
      <c r="S25" s="1017"/>
      <c r="T25" s="1017"/>
      <c r="U25" s="1017"/>
      <c r="V25" s="1017"/>
      <c r="W25" s="1017"/>
      <c r="X25" s="1017"/>
      <c r="Y25" s="1017"/>
      <c r="Z25" s="1017"/>
      <c r="AA25" s="1017"/>
      <c r="AB25" s="1017"/>
      <c r="AC25" s="1017"/>
    </row>
    <row r="26" spans="1:147" s="10" customFormat="1" ht="17" customHeight="1" thickTop="1">
      <c r="A26" s="75"/>
      <c r="B26" s="975" t="s">
        <v>173</v>
      </c>
      <c r="C26" s="976"/>
      <c r="D26" s="976"/>
      <c r="E26" s="976"/>
      <c r="F26" s="976"/>
      <c r="G26" s="976"/>
      <c r="H26" s="976"/>
      <c r="I26" s="976"/>
      <c r="J26" s="976"/>
      <c r="K26" s="981" t="s">
        <v>325</v>
      </c>
      <c r="L26" s="982"/>
      <c r="M26" s="982"/>
      <c r="N26" s="982"/>
      <c r="O26" s="982"/>
      <c r="P26" s="983"/>
      <c r="Q26" s="820" t="s">
        <v>169</v>
      </c>
      <c r="R26" s="820"/>
      <c r="S26" s="820"/>
      <c r="T26" s="820" t="s">
        <v>168</v>
      </c>
      <c r="U26" s="820"/>
      <c r="V26" s="820"/>
      <c r="W26" s="820" t="s">
        <v>31</v>
      </c>
      <c r="X26" s="820"/>
      <c r="Y26" s="820"/>
      <c r="Z26" s="820"/>
      <c r="AA26" s="820"/>
      <c r="AB26" s="820"/>
      <c r="AC26" s="820"/>
    </row>
    <row r="27" spans="1:147" s="10" customFormat="1" ht="20" customHeight="1">
      <c r="A27" s="75"/>
      <c r="B27" s="977"/>
      <c r="C27" s="978"/>
      <c r="D27" s="978"/>
      <c r="E27" s="978"/>
      <c r="F27" s="978"/>
      <c r="G27" s="978"/>
      <c r="H27" s="978"/>
      <c r="I27" s="978"/>
      <c r="J27" s="978"/>
      <c r="K27" s="984"/>
      <c r="L27" s="985"/>
      <c r="M27" s="985"/>
      <c r="N27" s="985"/>
      <c r="O27" s="985"/>
      <c r="P27" s="986"/>
      <c r="Q27" s="1011"/>
      <c r="R27" s="1011"/>
      <c r="S27" s="1011"/>
      <c r="T27" s="1011"/>
      <c r="U27" s="1011"/>
      <c r="V27" s="1011"/>
      <c r="W27" s="1011"/>
      <c r="X27" s="1011"/>
      <c r="Y27" s="1011"/>
      <c r="Z27" s="1011"/>
      <c r="AA27" s="1011"/>
      <c r="AB27" s="1011"/>
      <c r="AC27" s="1011"/>
    </row>
    <row r="28" spans="1:147" s="10" customFormat="1" ht="20" customHeight="1">
      <c r="A28" s="75"/>
      <c r="B28" s="979"/>
      <c r="C28" s="980"/>
      <c r="D28" s="980"/>
      <c r="E28" s="980"/>
      <c r="F28" s="980"/>
      <c r="G28" s="980"/>
      <c r="H28" s="980"/>
      <c r="I28" s="980"/>
      <c r="J28" s="980"/>
      <c r="K28" s="987"/>
      <c r="L28" s="988"/>
      <c r="M28" s="988"/>
      <c r="N28" s="988"/>
      <c r="O28" s="988"/>
      <c r="P28" s="989"/>
      <c r="Q28" s="1012"/>
      <c r="R28" s="1012"/>
      <c r="S28" s="1012"/>
      <c r="T28" s="1012"/>
      <c r="U28" s="1012"/>
      <c r="V28" s="1012"/>
      <c r="W28" s="1012"/>
      <c r="X28" s="1012"/>
      <c r="Y28" s="1012"/>
      <c r="Z28" s="1012"/>
      <c r="AA28" s="1012"/>
      <c r="AB28" s="1012"/>
      <c r="AC28" s="1012"/>
    </row>
    <row r="29" spans="1:147" s="10" customFormat="1" ht="20" customHeight="1">
      <c r="A29" s="75"/>
      <c r="B29" s="977"/>
      <c r="C29" s="978"/>
      <c r="D29" s="978"/>
      <c r="E29" s="978"/>
      <c r="F29" s="978"/>
      <c r="G29" s="978"/>
      <c r="H29" s="978"/>
      <c r="I29" s="978"/>
      <c r="J29" s="978"/>
      <c r="K29" s="984"/>
      <c r="L29" s="985"/>
      <c r="M29" s="985"/>
      <c r="N29" s="985"/>
      <c r="O29" s="985"/>
      <c r="P29" s="986"/>
      <c r="Q29" s="1011"/>
      <c r="R29" s="1011"/>
      <c r="S29" s="1011"/>
      <c r="T29" s="1011"/>
      <c r="U29" s="1011"/>
      <c r="V29" s="1011"/>
      <c r="W29" s="1011"/>
      <c r="X29" s="1011"/>
      <c r="Y29" s="1011"/>
      <c r="Z29" s="1011"/>
      <c r="AA29" s="1011"/>
      <c r="AB29" s="1011"/>
      <c r="AC29" s="1011"/>
    </row>
    <row r="30" spans="1:147" s="76" customFormat="1" ht="20" customHeight="1">
      <c r="A30" s="75"/>
      <c r="B30" s="979"/>
      <c r="C30" s="980"/>
      <c r="D30" s="980"/>
      <c r="E30" s="980"/>
      <c r="F30" s="980"/>
      <c r="G30" s="980"/>
      <c r="H30" s="980"/>
      <c r="I30" s="980"/>
      <c r="J30" s="980"/>
      <c r="K30" s="987"/>
      <c r="L30" s="988"/>
      <c r="M30" s="988"/>
      <c r="N30" s="988"/>
      <c r="O30" s="988"/>
      <c r="P30" s="989"/>
      <c r="Q30" s="1015"/>
      <c r="R30" s="1015"/>
      <c r="S30" s="1015"/>
      <c r="T30" s="1015"/>
      <c r="U30" s="1015"/>
      <c r="V30" s="1015"/>
      <c r="W30" s="1015"/>
      <c r="X30" s="1015"/>
      <c r="Y30" s="1015"/>
      <c r="Z30" s="1015"/>
      <c r="AA30" s="1015"/>
      <c r="AB30" s="1015"/>
      <c r="AC30" s="1015"/>
    </row>
    <row r="31" spans="1:147" s="10" customFormat="1" ht="20" customHeight="1">
      <c r="A31" s="75"/>
      <c r="B31" s="977"/>
      <c r="C31" s="978"/>
      <c r="D31" s="978"/>
      <c r="E31" s="978"/>
      <c r="F31" s="978"/>
      <c r="G31" s="978"/>
      <c r="H31" s="978"/>
      <c r="I31" s="978"/>
      <c r="J31" s="978"/>
      <c r="K31" s="984"/>
      <c r="L31" s="985"/>
      <c r="M31" s="985"/>
      <c r="N31" s="985"/>
      <c r="O31" s="985"/>
      <c r="P31" s="986"/>
      <c r="Q31" s="1011"/>
      <c r="R31" s="1011"/>
      <c r="S31" s="1011"/>
      <c r="T31" s="1011"/>
      <c r="U31" s="1011"/>
      <c r="V31" s="1011"/>
      <c r="W31" s="1011"/>
      <c r="X31" s="1011"/>
      <c r="Y31" s="1011"/>
      <c r="Z31" s="1011"/>
      <c r="AA31" s="1011"/>
      <c r="AB31" s="1011"/>
      <c r="AC31" s="1011"/>
    </row>
    <row r="32" spans="1:147" s="10" customFormat="1" ht="20" customHeight="1">
      <c r="A32" s="75"/>
      <c r="B32" s="979"/>
      <c r="C32" s="980"/>
      <c r="D32" s="980"/>
      <c r="E32" s="980"/>
      <c r="F32" s="980"/>
      <c r="G32" s="980"/>
      <c r="H32" s="980"/>
      <c r="I32" s="980"/>
      <c r="J32" s="980"/>
      <c r="K32" s="987"/>
      <c r="L32" s="988"/>
      <c r="M32" s="988"/>
      <c r="N32" s="988"/>
      <c r="O32" s="988"/>
      <c r="P32" s="989"/>
      <c r="Q32" s="1012"/>
      <c r="R32" s="1012"/>
      <c r="S32" s="1012"/>
      <c r="T32" s="1012"/>
      <c r="U32" s="1012"/>
      <c r="V32" s="1012"/>
      <c r="W32" s="1012"/>
      <c r="X32" s="1012"/>
      <c r="Y32" s="1012"/>
      <c r="Z32" s="1012"/>
      <c r="AA32" s="1012"/>
      <c r="AB32" s="1012"/>
      <c r="AC32" s="1012"/>
    </row>
    <row r="33" spans="1:29" s="10" customFormat="1" ht="20" customHeight="1">
      <c r="A33" s="75"/>
      <c r="B33" s="977"/>
      <c r="C33" s="978"/>
      <c r="D33" s="978"/>
      <c r="E33" s="978"/>
      <c r="F33" s="978"/>
      <c r="G33" s="978"/>
      <c r="H33" s="978"/>
      <c r="I33" s="978"/>
      <c r="J33" s="978"/>
      <c r="K33" s="984"/>
      <c r="L33" s="985"/>
      <c r="M33" s="985"/>
      <c r="N33" s="985"/>
      <c r="O33" s="985"/>
      <c r="P33" s="986"/>
      <c r="Q33" s="1011"/>
      <c r="R33" s="1011"/>
      <c r="S33" s="1011"/>
      <c r="T33" s="1011"/>
      <c r="U33" s="1011"/>
      <c r="V33" s="1011"/>
      <c r="W33" s="1011"/>
      <c r="X33" s="1011"/>
      <c r="Y33" s="1011"/>
      <c r="Z33" s="1011"/>
      <c r="AA33" s="1011"/>
      <c r="AB33" s="1011"/>
      <c r="AC33" s="1011"/>
    </row>
    <row r="34" spans="1:29" s="10" customFormat="1" ht="20" customHeight="1">
      <c r="A34" s="12"/>
      <c r="B34" s="979"/>
      <c r="C34" s="980"/>
      <c r="D34" s="980"/>
      <c r="E34" s="980"/>
      <c r="F34" s="980"/>
      <c r="G34" s="980"/>
      <c r="H34" s="980"/>
      <c r="I34" s="980"/>
      <c r="J34" s="980"/>
      <c r="K34" s="987"/>
      <c r="L34" s="988"/>
      <c r="M34" s="988"/>
      <c r="N34" s="988"/>
      <c r="O34" s="988"/>
      <c r="P34" s="989"/>
      <c r="Q34" s="1012"/>
      <c r="R34" s="1012"/>
      <c r="S34" s="1012"/>
      <c r="T34" s="1012"/>
      <c r="U34" s="1012"/>
      <c r="V34" s="1012"/>
      <c r="W34" s="1012"/>
      <c r="X34" s="1012"/>
      <c r="Y34" s="1012"/>
      <c r="Z34" s="1012"/>
      <c r="AA34" s="1012"/>
      <c r="AB34" s="1012"/>
      <c r="AC34" s="1012"/>
    </row>
    <row r="35" spans="1:29" s="76" customFormat="1" ht="20" customHeight="1">
      <c r="A35" s="12"/>
      <c r="B35" s="977"/>
      <c r="C35" s="978"/>
      <c r="D35" s="978"/>
      <c r="E35" s="978"/>
      <c r="F35" s="978"/>
      <c r="G35" s="978"/>
      <c r="H35" s="978"/>
      <c r="I35" s="978"/>
      <c r="J35" s="978"/>
      <c r="K35" s="984"/>
      <c r="L35" s="985"/>
      <c r="M35" s="985"/>
      <c r="N35" s="985"/>
      <c r="O35" s="985"/>
      <c r="P35" s="986"/>
      <c r="Q35" s="1014"/>
      <c r="R35" s="1014"/>
      <c r="S35" s="1014"/>
      <c r="T35" s="1014"/>
      <c r="U35" s="1014"/>
      <c r="V35" s="1014"/>
      <c r="W35" s="1014"/>
      <c r="X35" s="1014"/>
      <c r="Y35" s="1014"/>
      <c r="Z35" s="1014"/>
      <c r="AA35" s="1014"/>
      <c r="AB35" s="1014"/>
      <c r="AC35" s="1014"/>
    </row>
    <row r="36" spans="1:29" s="10" customFormat="1" ht="20" customHeight="1">
      <c r="A36" s="12"/>
      <c r="B36" s="979"/>
      <c r="C36" s="980"/>
      <c r="D36" s="980"/>
      <c r="E36" s="980"/>
      <c r="F36" s="980"/>
      <c r="G36" s="980"/>
      <c r="H36" s="980"/>
      <c r="I36" s="980"/>
      <c r="J36" s="980"/>
      <c r="K36" s="987"/>
      <c r="L36" s="988"/>
      <c r="M36" s="988"/>
      <c r="N36" s="988"/>
      <c r="O36" s="988"/>
      <c r="P36" s="989"/>
      <c r="Q36" s="1012"/>
      <c r="R36" s="1012"/>
      <c r="S36" s="1012"/>
      <c r="T36" s="1012"/>
      <c r="U36" s="1012"/>
      <c r="V36" s="1012"/>
      <c r="W36" s="1012"/>
      <c r="X36" s="1012"/>
      <c r="Y36" s="1012"/>
      <c r="Z36" s="1012"/>
      <c r="AA36" s="1012"/>
      <c r="AB36" s="1012"/>
      <c r="AC36" s="1012"/>
    </row>
    <row r="37" spans="1:29" s="11" customFormat="1" ht="20" customHeight="1">
      <c r="A37" s="9"/>
      <c r="B37" s="977"/>
      <c r="C37" s="978"/>
      <c r="D37" s="978"/>
      <c r="E37" s="978"/>
      <c r="F37" s="978"/>
      <c r="G37" s="978"/>
      <c r="H37" s="978"/>
      <c r="I37" s="978"/>
      <c r="J37" s="978"/>
      <c r="K37" s="984"/>
      <c r="L37" s="985"/>
      <c r="M37" s="985"/>
      <c r="N37" s="985"/>
      <c r="O37" s="985"/>
      <c r="P37" s="986"/>
      <c r="Q37" s="1013"/>
      <c r="R37" s="1013"/>
      <c r="S37" s="1013"/>
      <c r="T37" s="1013"/>
      <c r="U37" s="1013"/>
      <c r="V37" s="1013"/>
      <c r="W37" s="1013"/>
      <c r="X37" s="1013"/>
      <c r="Y37" s="1013"/>
      <c r="Z37" s="1013"/>
      <c r="AA37" s="1013"/>
      <c r="AB37" s="1013"/>
      <c r="AC37" s="1013"/>
    </row>
    <row r="38" spans="1:29" s="10" customFormat="1" ht="20" customHeight="1">
      <c r="A38" s="12"/>
      <c r="B38" s="979"/>
      <c r="C38" s="980"/>
      <c r="D38" s="980"/>
      <c r="E38" s="980"/>
      <c r="F38" s="980"/>
      <c r="G38" s="980"/>
      <c r="H38" s="980"/>
      <c r="I38" s="980"/>
      <c r="J38" s="980"/>
      <c r="K38" s="987"/>
      <c r="L38" s="988"/>
      <c r="M38" s="988"/>
      <c r="N38" s="988"/>
      <c r="O38" s="988"/>
      <c r="P38" s="989"/>
      <c r="Q38" s="1012"/>
      <c r="R38" s="1012"/>
      <c r="S38" s="1012"/>
      <c r="T38" s="1012"/>
      <c r="U38" s="1012"/>
      <c r="V38" s="1012"/>
      <c r="W38" s="1012"/>
      <c r="X38" s="1012"/>
      <c r="Y38" s="1012"/>
      <c r="Z38" s="1012"/>
      <c r="AA38" s="1012"/>
      <c r="AB38" s="1012"/>
      <c r="AC38" s="1012"/>
    </row>
    <row r="39" spans="1:29" s="10" customFormat="1" ht="20" customHeight="1">
      <c r="A39" s="12"/>
      <c r="B39" s="977"/>
      <c r="C39" s="978"/>
      <c r="D39" s="978"/>
      <c r="E39" s="978"/>
      <c r="F39" s="978"/>
      <c r="G39" s="978"/>
      <c r="H39" s="978"/>
      <c r="I39" s="978"/>
      <c r="J39" s="978"/>
      <c r="K39" s="984"/>
      <c r="L39" s="985"/>
      <c r="M39" s="985"/>
      <c r="N39" s="985"/>
      <c r="O39" s="985"/>
      <c r="P39" s="986"/>
      <c r="Q39" s="1011"/>
      <c r="R39" s="1011"/>
      <c r="S39" s="1011"/>
      <c r="T39" s="1011"/>
      <c r="U39" s="1011"/>
      <c r="V39" s="1011"/>
      <c r="W39" s="1011"/>
      <c r="X39" s="1011"/>
      <c r="Y39" s="1011"/>
      <c r="Z39" s="1011"/>
      <c r="AA39" s="1011"/>
      <c r="AB39" s="1011"/>
      <c r="AC39" s="1011"/>
    </row>
    <row r="40" spans="1:29" s="10" customFormat="1" ht="20" customHeight="1">
      <c r="A40" s="12"/>
      <c r="B40" s="979"/>
      <c r="C40" s="980"/>
      <c r="D40" s="980"/>
      <c r="E40" s="980"/>
      <c r="F40" s="980"/>
      <c r="G40" s="980"/>
      <c r="H40" s="980"/>
      <c r="I40" s="980"/>
      <c r="J40" s="980"/>
      <c r="K40" s="987"/>
      <c r="L40" s="988"/>
      <c r="M40" s="988"/>
      <c r="N40" s="988"/>
      <c r="O40" s="988"/>
      <c r="P40" s="989"/>
      <c r="Q40" s="1012"/>
      <c r="R40" s="1012"/>
      <c r="S40" s="1012"/>
      <c r="T40" s="1012"/>
      <c r="U40" s="1012"/>
      <c r="V40" s="1012"/>
      <c r="W40" s="1012"/>
      <c r="X40" s="1012"/>
      <c r="Y40" s="1012"/>
      <c r="Z40" s="1012"/>
      <c r="AA40" s="1012"/>
      <c r="AB40" s="1012"/>
      <c r="AC40" s="1012"/>
    </row>
    <row r="41" spans="1:29" s="11" customFormat="1" ht="20" customHeight="1">
      <c r="A41" s="9"/>
      <c r="B41" s="977"/>
      <c r="C41" s="978"/>
      <c r="D41" s="978"/>
      <c r="E41" s="978"/>
      <c r="F41" s="978"/>
      <c r="G41" s="978"/>
      <c r="H41" s="978"/>
      <c r="I41" s="978"/>
      <c r="J41" s="978"/>
      <c r="K41" s="984"/>
      <c r="L41" s="985"/>
      <c r="M41" s="985"/>
      <c r="N41" s="985"/>
      <c r="O41" s="985"/>
      <c r="P41" s="986"/>
      <c r="Q41" s="1013"/>
      <c r="R41" s="1013"/>
      <c r="S41" s="1013"/>
      <c r="T41" s="1013"/>
      <c r="U41" s="1013"/>
      <c r="V41" s="1013"/>
      <c r="W41" s="1013"/>
      <c r="X41" s="1013"/>
      <c r="Y41" s="1013"/>
      <c r="Z41" s="1013"/>
      <c r="AA41" s="1013"/>
      <c r="AB41" s="1013"/>
      <c r="AC41" s="1013"/>
    </row>
    <row r="42" spans="1:29" s="10" customFormat="1" ht="20" customHeight="1">
      <c r="A42" s="12"/>
      <c r="B42" s="979"/>
      <c r="C42" s="980"/>
      <c r="D42" s="980"/>
      <c r="E42" s="980"/>
      <c r="F42" s="980"/>
      <c r="G42" s="980"/>
      <c r="H42" s="980"/>
      <c r="I42" s="980"/>
      <c r="J42" s="980"/>
      <c r="K42" s="987"/>
      <c r="L42" s="988"/>
      <c r="M42" s="988"/>
      <c r="N42" s="988"/>
      <c r="O42" s="988"/>
      <c r="P42" s="989"/>
      <c r="Q42" s="1010"/>
      <c r="R42" s="1010"/>
      <c r="S42" s="1010"/>
      <c r="T42" s="1010"/>
      <c r="U42" s="1010"/>
      <c r="V42" s="1010"/>
      <c r="W42" s="1010"/>
      <c r="X42" s="1010"/>
      <c r="Y42" s="1010"/>
      <c r="Z42" s="1010"/>
      <c r="AA42" s="1010"/>
      <c r="AB42" s="1010"/>
      <c r="AC42" s="1010"/>
    </row>
    <row r="43" spans="1:29" s="10" customFormat="1" ht="20" customHeight="1">
      <c r="A43" s="75"/>
      <c r="B43" s="977"/>
      <c r="C43" s="978"/>
      <c r="D43" s="978"/>
      <c r="E43" s="978"/>
      <c r="F43" s="978"/>
      <c r="G43" s="978"/>
      <c r="H43" s="978"/>
      <c r="I43" s="978"/>
      <c r="J43" s="978"/>
      <c r="K43" s="984"/>
      <c r="L43" s="985"/>
      <c r="M43" s="985"/>
      <c r="N43" s="985"/>
      <c r="O43" s="985"/>
      <c r="P43" s="986"/>
      <c r="Q43" s="1011"/>
      <c r="R43" s="1011"/>
      <c r="S43" s="1011"/>
      <c r="T43" s="1011"/>
      <c r="U43" s="1011"/>
      <c r="V43" s="1011"/>
      <c r="W43" s="1011"/>
      <c r="X43" s="1011"/>
      <c r="Y43" s="1011"/>
      <c r="Z43" s="1011"/>
      <c r="AA43" s="1011"/>
      <c r="AB43" s="1011"/>
      <c r="AC43" s="1011"/>
    </row>
    <row r="44" spans="1:29" s="76" customFormat="1" ht="16" customHeight="1">
      <c r="A44" s="485"/>
      <c r="B44" s="485"/>
      <c r="C44" s="485"/>
      <c r="D44" s="485"/>
      <c r="E44" s="1001"/>
      <c r="F44" s="1001"/>
      <c r="G44" s="1001"/>
      <c r="H44" s="1001"/>
      <c r="I44" s="1001"/>
      <c r="J44" s="1001"/>
      <c r="K44" s="1001"/>
      <c r="L44" s="1001"/>
      <c r="M44" s="1001"/>
      <c r="N44" s="1001"/>
      <c r="O44" s="1001"/>
      <c r="P44" s="1001"/>
      <c r="Q44" s="1001"/>
      <c r="R44" s="1001"/>
      <c r="S44" s="1001"/>
      <c r="T44" s="1001"/>
      <c r="U44" s="1001"/>
      <c r="V44" s="1001"/>
      <c r="W44" s="1001"/>
      <c r="X44" s="1001"/>
      <c r="Y44" s="1001"/>
      <c r="Z44" s="1001"/>
      <c r="AA44" s="1001"/>
      <c r="AB44" s="153"/>
      <c r="AC44" s="153"/>
    </row>
    <row r="45" spans="1:29" s="10" customFormat="1" ht="16" customHeight="1" thickBot="1">
      <c r="A45" s="126"/>
      <c r="B45" s="1000" t="s">
        <v>33</v>
      </c>
      <c r="C45" s="1000"/>
      <c r="D45" s="1000"/>
      <c r="E45" s="1000"/>
      <c r="F45" s="1000"/>
      <c r="G45" s="1000"/>
      <c r="H45" s="1000"/>
      <c r="I45" s="1000"/>
      <c r="J45" s="1000"/>
      <c r="K45" s="1000"/>
      <c r="L45" s="1000"/>
      <c r="M45" s="1000"/>
      <c r="N45" s="1000"/>
      <c r="O45" s="1000"/>
      <c r="P45" s="1000"/>
      <c r="Q45" s="1000"/>
      <c r="R45" s="1000"/>
      <c r="S45" s="1000"/>
      <c r="T45" s="1000"/>
      <c r="U45" s="1000"/>
      <c r="V45" s="1000"/>
      <c r="W45" s="1000"/>
      <c r="X45" s="1000"/>
      <c r="Y45" s="1000"/>
      <c r="Z45" s="1000"/>
      <c r="AA45" s="1000"/>
      <c r="AB45" s="1000"/>
      <c r="AC45" s="1000"/>
    </row>
    <row r="46" spans="1:29" s="10" customFormat="1" ht="5" customHeight="1" thickTop="1" thickBot="1">
      <c r="A46" s="12"/>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row>
    <row r="47" spans="1:29" s="134" customFormat="1" ht="12" customHeight="1" thickBot="1">
      <c r="A47" s="13"/>
      <c r="B47" s="13"/>
      <c r="C47" s="1002" t="s">
        <v>32</v>
      </c>
      <c r="D47" s="1002"/>
      <c r="E47" s="1002"/>
      <c r="F47" s="1002"/>
      <c r="G47" s="1003"/>
      <c r="H47" s="1004" t="s">
        <v>24</v>
      </c>
      <c r="I47" s="1005"/>
      <c r="J47" s="1004" t="s">
        <v>25</v>
      </c>
      <c r="K47" s="1005"/>
      <c r="L47" s="157" t="s">
        <v>26</v>
      </c>
      <c r="M47" s="158"/>
      <c r="N47" s="132"/>
      <c r="O47" s="1004" t="s">
        <v>27</v>
      </c>
      <c r="P47" s="1006"/>
      <c r="Q47" s="1005"/>
      <c r="R47" s="132"/>
      <c r="S47" s="1004" t="s">
        <v>28</v>
      </c>
      <c r="T47" s="1006"/>
      <c r="U47" s="1006"/>
      <c r="V47" s="1005"/>
      <c r="W47" s="13"/>
      <c r="X47" s="1004" t="s">
        <v>29</v>
      </c>
      <c r="Y47" s="1006"/>
      <c r="Z47" s="1006"/>
      <c r="AA47" s="1005"/>
      <c r="AB47" s="133"/>
      <c r="AC47" s="133"/>
    </row>
    <row r="48" spans="1:29" s="134" customFormat="1" ht="12" customHeight="1" thickBot="1">
      <c r="A48" s="13"/>
      <c r="B48" s="13"/>
      <c r="C48" s="1002" t="s">
        <v>35</v>
      </c>
      <c r="D48" s="1002"/>
      <c r="E48" s="1002"/>
      <c r="F48" s="1002"/>
      <c r="G48" s="1002"/>
      <c r="H48" s="159">
        <v>1</v>
      </c>
      <c r="I48" s="160">
        <v>4</v>
      </c>
      <c r="J48" s="159">
        <v>0</v>
      </c>
      <c r="K48" s="160">
        <v>1</v>
      </c>
      <c r="L48" s="159">
        <v>2</v>
      </c>
      <c r="M48" s="160">
        <v>2</v>
      </c>
      <c r="N48" s="132"/>
      <c r="O48" s="1007" t="s">
        <v>23</v>
      </c>
      <c r="P48" s="1008"/>
      <c r="Q48" s="1009"/>
      <c r="R48" s="135"/>
      <c r="S48" s="1007" t="s">
        <v>115</v>
      </c>
      <c r="T48" s="1008"/>
      <c r="U48" s="1008" t="s">
        <v>116</v>
      </c>
      <c r="V48" s="1009"/>
      <c r="W48" s="13"/>
      <c r="X48" s="1007" t="s">
        <v>117</v>
      </c>
      <c r="Y48" s="1008"/>
      <c r="Z48" s="1008" t="s">
        <v>118</v>
      </c>
      <c r="AA48" s="1009"/>
      <c r="AB48" s="136"/>
      <c r="AC48" s="136"/>
    </row>
    <row r="49" spans="1:30" ht="1" customHeight="1">
      <c r="A49" s="957"/>
      <c r="B49" s="485"/>
      <c r="C49" s="485"/>
      <c r="D49" s="485"/>
      <c r="E49" s="485"/>
      <c r="F49" s="485"/>
      <c r="G49" s="485"/>
      <c r="H49" s="485"/>
      <c r="I49" s="485"/>
      <c r="J49" s="485"/>
      <c r="K49" s="485"/>
      <c r="L49" s="485"/>
      <c r="M49" s="485"/>
      <c r="N49" s="485"/>
      <c r="O49" s="485"/>
      <c r="P49" s="485"/>
      <c r="Q49" s="485"/>
      <c r="R49" s="485"/>
      <c r="S49" s="485"/>
      <c r="T49" s="485"/>
      <c r="U49" s="485"/>
      <c r="V49" s="485"/>
      <c r="W49" s="485"/>
      <c r="X49" s="485"/>
      <c r="Y49" s="485"/>
      <c r="Z49" s="485"/>
      <c r="AA49" s="485"/>
      <c r="AB49" s="485"/>
      <c r="AC49" s="485"/>
      <c r="AD49" s="485"/>
    </row>
    <row r="51" spans="1:30" ht="18" customHeight="1" thickBot="1">
      <c r="A51" s="126"/>
      <c r="B51" s="1000" t="s">
        <v>369</v>
      </c>
      <c r="C51" s="1000"/>
      <c r="D51" s="1000"/>
      <c r="E51" s="1000"/>
      <c r="F51" s="1000"/>
      <c r="G51" s="1000"/>
      <c r="H51" s="1000"/>
      <c r="I51" s="1000"/>
      <c r="J51" s="1000"/>
      <c r="K51" s="1000"/>
      <c r="L51" s="1000"/>
      <c r="M51" s="1000"/>
      <c r="N51" s="1000"/>
      <c r="O51" s="1000"/>
      <c r="P51" s="1000"/>
      <c r="Q51" s="1000"/>
      <c r="R51" s="1000"/>
      <c r="S51" s="1000"/>
      <c r="T51" s="1000"/>
      <c r="U51" s="1000"/>
      <c r="V51" s="1000"/>
      <c r="W51" s="1000"/>
      <c r="X51" s="1000"/>
      <c r="Y51" s="1000"/>
      <c r="Z51" s="1000"/>
      <c r="AA51" s="1000"/>
      <c r="AB51" s="1000"/>
      <c r="AC51" s="1000"/>
    </row>
    <row r="52" spans="1:30" ht="12" customHeight="1" thickTop="1"/>
    <row r="56" spans="1:30" ht="5" customHeight="1"/>
    <row r="62" spans="1:30" ht="5" customHeight="1"/>
    <row r="87" spans="2:27" ht="12" customHeight="1">
      <c r="B87" s="137"/>
      <c r="C87" s="137"/>
      <c r="D87" s="137"/>
      <c r="E87" s="137"/>
      <c r="F87" s="137"/>
      <c r="G87" s="138"/>
      <c r="H87" s="138"/>
      <c r="I87" s="138"/>
      <c r="J87" s="138"/>
      <c r="K87" s="138"/>
      <c r="L87" s="138"/>
      <c r="M87" s="138"/>
      <c r="N87" s="138"/>
      <c r="O87" s="138"/>
      <c r="P87" s="138"/>
      <c r="Q87" s="138"/>
      <c r="R87" s="138"/>
      <c r="S87" s="138"/>
      <c r="T87" s="138"/>
      <c r="U87" s="138"/>
      <c r="V87" s="138"/>
      <c r="W87" s="138"/>
      <c r="X87" s="138"/>
      <c r="Y87" s="138"/>
    </row>
    <row r="89" spans="2:27" ht="12" customHeight="1">
      <c r="B89" s="137"/>
      <c r="C89" s="137"/>
      <c r="D89" s="137"/>
      <c r="E89" s="137"/>
      <c r="F89" s="137"/>
      <c r="G89" s="138"/>
      <c r="H89" s="138"/>
      <c r="I89" s="138"/>
      <c r="J89" s="138"/>
      <c r="K89" s="138"/>
      <c r="L89" s="138"/>
      <c r="M89" s="138"/>
      <c r="N89" s="138"/>
      <c r="O89" s="138"/>
      <c r="P89" s="138"/>
      <c r="Q89" s="138"/>
      <c r="R89" s="138"/>
      <c r="S89" s="138"/>
      <c r="T89" s="138"/>
      <c r="U89" s="138"/>
      <c r="V89" s="138"/>
      <c r="W89" s="138"/>
      <c r="X89" s="138"/>
      <c r="Y89" s="138"/>
    </row>
    <row r="91" spans="2:27" ht="12" customHeight="1">
      <c r="B91" s="137"/>
      <c r="C91" s="137"/>
      <c r="D91" s="137"/>
      <c r="E91" s="137"/>
      <c r="F91" s="137"/>
      <c r="G91" s="138"/>
      <c r="H91" s="138"/>
      <c r="I91" s="138"/>
      <c r="J91" s="138"/>
      <c r="K91" s="138"/>
      <c r="L91" s="138"/>
      <c r="M91" s="138"/>
      <c r="N91" s="138"/>
      <c r="O91" s="138"/>
      <c r="P91" s="138"/>
      <c r="Q91" s="138"/>
      <c r="R91" s="138"/>
      <c r="S91" s="138"/>
      <c r="T91" s="138"/>
      <c r="U91" s="138"/>
      <c r="V91" s="138"/>
      <c r="W91" s="138"/>
      <c r="X91" s="138"/>
      <c r="Y91" s="138"/>
      <c r="Z91" s="139"/>
      <c r="AA91" s="139"/>
    </row>
    <row r="93" spans="2:27" ht="12" customHeight="1">
      <c r="B93" s="137"/>
      <c r="C93" s="137"/>
      <c r="D93" s="137"/>
      <c r="E93" s="137"/>
      <c r="F93" s="137"/>
      <c r="G93" s="138"/>
      <c r="H93" s="138"/>
      <c r="I93" s="138"/>
      <c r="J93" s="138"/>
      <c r="K93" s="138"/>
      <c r="L93" s="138"/>
      <c r="M93" s="138"/>
      <c r="N93" s="138"/>
      <c r="O93" s="138"/>
      <c r="P93" s="138"/>
      <c r="Q93" s="138"/>
      <c r="R93" s="138"/>
      <c r="S93" s="138"/>
      <c r="T93" s="138"/>
      <c r="U93" s="138"/>
      <c r="V93" s="138"/>
      <c r="W93" s="138"/>
      <c r="X93" s="138"/>
      <c r="Y93" s="138"/>
      <c r="Z93" s="139"/>
      <c r="AA93" s="139"/>
    </row>
    <row r="104" ht="105" customHeight="1"/>
    <row r="105" ht="5" customHeight="1"/>
    <row r="118" ht="10" customHeight="1"/>
  </sheetData>
  <sheetProtection sheet="1" objects="1" scenarios="1" selectLockedCells="1" selectUnlockedCells="1"/>
  <mergeCells count="209">
    <mergeCell ref="A15:AC15"/>
    <mergeCell ref="U7:AC7"/>
    <mergeCell ref="Z10:AC10"/>
    <mergeCell ref="Z11:AC11"/>
    <mergeCell ref="B51:AC51"/>
    <mergeCell ref="Z14:AA14"/>
    <mergeCell ref="X4:AC4"/>
    <mergeCell ref="V4:W4"/>
    <mergeCell ref="X5:AC5"/>
    <mergeCell ref="V5:W5"/>
    <mergeCell ref="R4:U4"/>
    <mergeCell ref="Z13:AA13"/>
    <mergeCell ref="AB13:AC13"/>
    <mergeCell ref="AB14:AC14"/>
    <mergeCell ref="V13:W13"/>
    <mergeCell ref="X13:Y13"/>
    <mergeCell ref="Q27:S27"/>
    <mergeCell ref="T27:V27"/>
    <mergeCell ref="W27:AC27"/>
    <mergeCell ref="Q28:S28"/>
    <mergeCell ref="T28:V28"/>
    <mergeCell ref="W28:AC28"/>
    <mergeCell ref="B13:C13"/>
    <mergeCell ref="F13:G13"/>
    <mergeCell ref="H13:I13"/>
    <mergeCell ref="J13:K13"/>
    <mergeCell ref="L13:M13"/>
    <mergeCell ref="N13:O13"/>
    <mergeCell ref="P13:Q13"/>
    <mergeCell ref="D13:E13"/>
    <mergeCell ref="T14:U14"/>
    <mergeCell ref="R13:S13"/>
    <mergeCell ref="T13:U13"/>
    <mergeCell ref="D14:E14"/>
    <mergeCell ref="F14:G14"/>
    <mergeCell ref="H14:I14"/>
    <mergeCell ref="J14:K14"/>
    <mergeCell ref="L14:M14"/>
    <mergeCell ref="N14:O14"/>
    <mergeCell ref="P14:Q14"/>
    <mergeCell ref="A1:AD1"/>
    <mergeCell ref="A24:AA24"/>
    <mergeCell ref="B25:AC25"/>
    <mergeCell ref="Q26:S26"/>
    <mergeCell ref="T26:V26"/>
    <mergeCell ref="W26:AC26"/>
    <mergeCell ref="X2:AC2"/>
    <mergeCell ref="X3:AC3"/>
    <mergeCell ref="V2:W2"/>
    <mergeCell ref="V3:W3"/>
    <mergeCell ref="R2:U2"/>
    <mergeCell ref="R3:U3"/>
    <mergeCell ref="R5:U5"/>
    <mergeCell ref="P3:Q3"/>
    <mergeCell ref="P4:Q4"/>
    <mergeCell ref="P2:Q2"/>
    <mergeCell ref="P5:Q5"/>
    <mergeCell ref="A6:AD6"/>
    <mergeCell ref="B14:C14"/>
    <mergeCell ref="R14:S14"/>
    <mergeCell ref="B7:F7"/>
    <mergeCell ref="G7:T7"/>
    <mergeCell ref="V14:W14"/>
    <mergeCell ref="X14:Y14"/>
    <mergeCell ref="Q32:S32"/>
    <mergeCell ref="T32:V32"/>
    <mergeCell ref="W32:AC32"/>
    <mergeCell ref="Q33:S33"/>
    <mergeCell ref="T33:V33"/>
    <mergeCell ref="W33:AC33"/>
    <mergeCell ref="Q29:S29"/>
    <mergeCell ref="T29:V29"/>
    <mergeCell ref="W29:AC29"/>
    <mergeCell ref="Q30:S30"/>
    <mergeCell ref="T30:V30"/>
    <mergeCell ref="W30:AC30"/>
    <mergeCell ref="Q31:S31"/>
    <mergeCell ref="T31:V31"/>
    <mergeCell ref="W31:AC31"/>
    <mergeCell ref="Q36:S36"/>
    <mergeCell ref="T36:V36"/>
    <mergeCell ref="W36:AC36"/>
    <mergeCell ref="Q37:S37"/>
    <mergeCell ref="T37:V37"/>
    <mergeCell ref="W37:AC37"/>
    <mergeCell ref="Q34:S34"/>
    <mergeCell ref="T34:V34"/>
    <mergeCell ref="W34:AC34"/>
    <mergeCell ref="Q35:S35"/>
    <mergeCell ref="T35:V35"/>
    <mergeCell ref="W35:AC35"/>
    <mergeCell ref="W40:AC40"/>
    <mergeCell ref="Q41:S41"/>
    <mergeCell ref="T41:V41"/>
    <mergeCell ref="W41:AC41"/>
    <mergeCell ref="Q38:S38"/>
    <mergeCell ref="T38:V38"/>
    <mergeCell ref="W38:AC38"/>
    <mergeCell ref="Q39:S39"/>
    <mergeCell ref="T39:V39"/>
    <mergeCell ref="W39:AC39"/>
    <mergeCell ref="R17:U17"/>
    <mergeCell ref="A49:AD49"/>
    <mergeCell ref="B45:AC45"/>
    <mergeCell ref="A44:AA44"/>
    <mergeCell ref="C47:G47"/>
    <mergeCell ref="H47:I47"/>
    <mergeCell ref="J47:K47"/>
    <mergeCell ref="O47:Q47"/>
    <mergeCell ref="S47:V47"/>
    <mergeCell ref="X47:AA47"/>
    <mergeCell ref="C48:G48"/>
    <mergeCell ref="O48:Q48"/>
    <mergeCell ref="S48:T48"/>
    <mergeCell ref="U48:V48"/>
    <mergeCell ref="X48:Y48"/>
    <mergeCell ref="Z48:AA48"/>
    <mergeCell ref="Q42:S42"/>
    <mergeCell ref="T42:V42"/>
    <mergeCell ref="W42:AC42"/>
    <mergeCell ref="Q43:S43"/>
    <mergeCell ref="T43:V43"/>
    <mergeCell ref="W43:AC43"/>
    <mergeCell ref="Q40:S40"/>
    <mergeCell ref="T40:V40"/>
    <mergeCell ref="B42:J42"/>
    <mergeCell ref="B43:J43"/>
    <mergeCell ref="K33:P33"/>
    <mergeCell ref="K34:P34"/>
    <mergeCell ref="K35:P35"/>
    <mergeCell ref="K36:P36"/>
    <mergeCell ref="K37:P37"/>
    <mergeCell ref="K38:P38"/>
    <mergeCell ref="K39:P39"/>
    <mergeCell ref="K40:P40"/>
    <mergeCell ref="K41:P41"/>
    <mergeCell ref="K42:P42"/>
    <mergeCell ref="K43:P43"/>
    <mergeCell ref="B33:J33"/>
    <mergeCell ref="B34:J34"/>
    <mergeCell ref="B35:J35"/>
    <mergeCell ref="B36:J36"/>
    <mergeCell ref="B37:J37"/>
    <mergeCell ref="B38:J38"/>
    <mergeCell ref="B39:J39"/>
    <mergeCell ref="B40:J40"/>
    <mergeCell ref="B41:J41"/>
    <mergeCell ref="B22:AA22"/>
    <mergeCell ref="A8:AB8"/>
    <mergeCell ref="F10:I10"/>
    <mergeCell ref="F11:I11"/>
    <mergeCell ref="B12:AA12"/>
    <mergeCell ref="B10:E10"/>
    <mergeCell ref="B23:E23"/>
    <mergeCell ref="F23:AC23"/>
    <mergeCell ref="B19:AA19"/>
    <mergeCell ref="J20:M20"/>
    <mergeCell ref="N20:Q20"/>
    <mergeCell ref="R20:U20"/>
    <mergeCell ref="V20:Y20"/>
    <mergeCell ref="Z20:AC20"/>
    <mergeCell ref="J21:M21"/>
    <mergeCell ref="N21:Q21"/>
    <mergeCell ref="R21:U21"/>
    <mergeCell ref="V21:Y21"/>
    <mergeCell ref="Z21:AC21"/>
    <mergeCell ref="F18:I18"/>
    <mergeCell ref="J18:M18"/>
    <mergeCell ref="N18:Q18"/>
    <mergeCell ref="B20:E20"/>
    <mergeCell ref="B21:E21"/>
    <mergeCell ref="B26:J26"/>
    <mergeCell ref="B27:J27"/>
    <mergeCell ref="B28:J28"/>
    <mergeCell ref="B29:J29"/>
    <mergeCell ref="B30:J30"/>
    <mergeCell ref="B31:J31"/>
    <mergeCell ref="B32:J32"/>
    <mergeCell ref="K26:P26"/>
    <mergeCell ref="K27:P27"/>
    <mergeCell ref="K28:P28"/>
    <mergeCell ref="K29:P29"/>
    <mergeCell ref="K30:P30"/>
    <mergeCell ref="K31:P31"/>
    <mergeCell ref="K32:P32"/>
    <mergeCell ref="F20:I20"/>
    <mergeCell ref="F21:I21"/>
    <mergeCell ref="B9:E9"/>
    <mergeCell ref="F9:AC9"/>
    <mergeCell ref="V17:Y17"/>
    <mergeCell ref="Z17:AC17"/>
    <mergeCell ref="Z18:AC18"/>
    <mergeCell ref="V18:Y18"/>
    <mergeCell ref="B18:E18"/>
    <mergeCell ref="J10:M10"/>
    <mergeCell ref="J11:M11"/>
    <mergeCell ref="N10:Q10"/>
    <mergeCell ref="N11:Q11"/>
    <mergeCell ref="R10:U10"/>
    <mergeCell ref="R11:U11"/>
    <mergeCell ref="V10:Y10"/>
    <mergeCell ref="V11:Y11"/>
    <mergeCell ref="B11:E11"/>
    <mergeCell ref="B16:AC16"/>
    <mergeCell ref="R18:U18"/>
    <mergeCell ref="B17:E17"/>
    <mergeCell ref="F17:I17"/>
    <mergeCell ref="J17:M17"/>
    <mergeCell ref="N17:Q17"/>
  </mergeCells>
  <phoneticPr fontId="3" type="noConversion"/>
  <printOptions horizontalCentered="1"/>
  <pageMargins left="0.5" right="0.5" top="0.5" bottom="0.5" header="0.25" footer="0.25"/>
  <pageSetup orientation="portrait" horizontalDpi="4294967292" verticalDpi="4294967292"/>
  <headerFooter>
    <oddHeader xml:space="preserve">&amp;L&amp;"Lucida Grande,Bold"&amp;K000000&amp;G&amp;C&amp;"Menlo Regular,Regular"&amp;7&amp;K000000★★★&amp;"-,Regular" STAPLE ITEMIZED RECEIPT HERE &amp;"Menlo Regular,Regular"★★★&amp;"-,Regular" STAPLE ITEMIZED RECEIPT HERE &amp;"Menlo Regular,Regular"★★★ </oddHeader>
    <oddFooter>&amp;C&amp;"Calibri,Bold"&amp;6&amp;K000000INTERNAL USE ONLY&amp;R&amp;"Calibri,Regular"&amp;6&amp;K000000Printed: &amp;D, &amp;T - Page &amp;P of &amp;N</oddFooter>
  </headerFooter>
  <drawing r:id="rId1"/>
  <legacyDrawingHF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AGREEMENT</vt:lpstr>
      <vt:lpstr>FLOOR A</vt:lpstr>
      <vt:lpstr>FLOOR B</vt:lpstr>
      <vt:lpstr>CC AUTH</vt:lpstr>
      <vt:lpstr>COVER 1</vt:lpstr>
      <vt:lpstr>FACT 1</vt:lpstr>
      <vt:lpstr>CAP 1</vt:lpstr>
    </vt:vector>
  </TitlesOfParts>
  <Company>Skylight Gardens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Clinco</dc:creator>
  <cp:lastModifiedBy>skylight</cp:lastModifiedBy>
  <cp:lastPrinted>2016-06-17T01:11:08Z</cp:lastPrinted>
  <dcterms:created xsi:type="dcterms:W3CDTF">2014-01-10T21:37:00Z</dcterms:created>
  <dcterms:modified xsi:type="dcterms:W3CDTF">2017-06-16T23:42:39Z</dcterms:modified>
</cp:coreProperties>
</file>